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Deutschland" sheetId="3" r:id="rId3"/>
    <sheet name="HGT Heizgradtage Schweiz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<sst xmlns="http://schemas.openxmlformats.org/spreadsheetml/2006/main" count="236" uniqueCount="182">
  <si>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</si>
  <si>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</si>
  <si>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</si>
  <si>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</si>
  <si>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</si>
  <si>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</si>
  <si>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</si>
  <si>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</si>
  <si>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</si>
  <si>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</si>
  <si>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</si>
  <si>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</si>
  <si>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</si>
  <si>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</si>
  <si>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</si>
  <si>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</si>
  <si>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</si>
  <si>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</si>
  <si>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</si>
  <si>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</si>
  <si>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</si>
  <si>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</si>
  <si>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</si>
  <si>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</si>
  <si>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</si>
  <si>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</si>
  <si>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</si>
  <si>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</si>
  <si>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</si>
  <si>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</si>
  <si>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</si>
  <si>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</si>
  <si>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</si>
  <si>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</si>
  <si>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</si>
  <si>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</si>
  <si>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</si>
  <si>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</si>
  <si>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</si>
  <si>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</si>
  <si>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</si>
  <si>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</si>
  <si>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</si>
  <si>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</si>
  <si>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</si>
  <si>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</si>
  <si>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</si>
  <si>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</si>
  <si>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</si>
  <si>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</si>
  <si>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</si>
  <si>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</si>
  <si>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</si>
  <si>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</si>
  <si>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</si>
  <si>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</si>
  <si>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</si>
  <si>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</si>
  <si>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</si>
  <si>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</si>
  <si>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</si>
  <si>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</si>
  <si>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</si>
  <si>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</si>
  <si>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</si>
  <si>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</si>
  <si>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</si>
  <si>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</si>
  <si>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</si>
  <si>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</si>
  <si>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</si>
  <si>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</si>
  <si>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</si>
  <si>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</si>
  <si>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</si>
  <si>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</si>
  <si>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</si>
  <si>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</si>
  <si>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</si>
  <si>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</si>
  <si>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</si>
  <si>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</si>
  <si>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</si>
  <si>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</si>
  <si>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</si>
  <si>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</si>
  <si>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Solar Partner</t>
  </si>
  <si>
    <t>Muster, Stuttgart (DE)</t>
  </si>
  <si>
    <t>Stuttgart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</si>
  <si>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</si>
  <si>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</si>
  <si>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</si>
  <si>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</si>
  <si>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</si>
  <si>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</si>
  <si>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</si>
  <si>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</si>
  <si>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</si>
  <si>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</si>
  <si>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</si>
  <si>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</si>
  <si>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</si>
  <si>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</si>
  <si>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</si>
  <si>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</si>
  <si>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</si>
  <si>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</si>
  <si>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Bern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</si>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</sst>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123825</xdr:rowOff>
    </xdr:from>
    <xdr:to>
      <xdr:col>16</xdr:col>
      <xdr:colOff>476250</xdr:colOff>
      <xdr:row>6</xdr:row>
      <xdr:rowOff>0</xdr:rowOff>
    </xdr:to>
    <xdr:grpSp>
      <xdr:nvGrpSpPr>
        <xdr:cNvPr id="1" name="Gruppieren 4"/>
        <xdr:cNvGrpSpPr>
          <a:grpSpLocks/>
        </xdr:cNvGrpSpPr>
      </xdr:nvGrpSpPr>
      <xdr:grpSpPr>
        <a:xfrm>
          <a:off x="4600575" y="36195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2762" y="887997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152400</xdr:rowOff>
    </xdr:from>
    <xdr:to>
      <xdr:col>10</xdr:col>
      <xdr:colOff>9525</xdr:colOff>
      <xdr:row>33</xdr:row>
      <xdr:rowOff>114300</xdr:rowOff>
    </xdr:to>
    <xdr:pic>
      <xdr:nvPicPr>
        <xdr:cNvPr id="1" name="Picture 3" descr="stuttg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68484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140625" style="35" customWidth="1"/>
    <col min="19" max="19" width="7.42187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77</v>
      </c>
    </row>
    <row r="2" spans="1:16" ht="18.75" customHeight="1">
      <c r="A2" s="34" t="s">
        <v>66</v>
      </c>
      <c r="P2" s="36"/>
    </row>
    <row r="3" spans="1:16" ht="18.75" customHeight="1">
      <c r="A3" s="75" t="s">
        <v>85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180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87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84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1090.0854750830565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0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179</v>
      </c>
      <c r="B12" s="56">
        <v>40</v>
      </c>
      <c r="C12" s="59" t="s">
        <v>48</v>
      </c>
      <c r="D12" s="32">
        <f>AD15</f>
        <v>356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181</v>
      </c>
      <c r="F13" s="38"/>
      <c r="G13" s="38"/>
      <c r="H13" s="38"/>
      <c r="I13" s="38"/>
      <c r="K13" s="9" t="s">
        <v>23</v>
      </c>
      <c r="L13" s="10"/>
      <c r="M13" s="11">
        <f>(L37-M37)/L37*100</f>
        <v>88.38988674776566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207.47543455149503</v>
      </c>
      <c r="N15" s="40"/>
      <c r="O15" s="40"/>
      <c r="P15" s="12" t="s">
        <v>71</v>
      </c>
      <c r="V15" s="36" t="s">
        <v>65</v>
      </c>
      <c r="W15" s="36"/>
      <c r="Y15" s="103" t="s">
        <v>86</v>
      </c>
      <c r="Z15" s="104"/>
      <c r="AA15" s="37"/>
      <c r="AB15" s="36"/>
      <c r="AD15" s="68">
        <v>356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177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178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22</v>
      </c>
      <c r="E25" s="16">
        <f>D25*B12</f>
        <v>880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609</v>
      </c>
      <c r="J25" s="18">
        <f aca="true" t="shared" si="2" ref="J25:J36">I25*$B$14*($B$15/(20-$D$14))</f>
        <v>1044</v>
      </c>
      <c r="K25" s="16">
        <f aca="true" t="shared" si="3" ref="K25:K36">$B$16*B25*1.163*10^(-3)*50</f>
        <v>288.42400000000004</v>
      </c>
      <c r="L25" s="16">
        <f aca="true" t="shared" si="4" ref="L25:L36">J25+K25</f>
        <v>1332.424</v>
      </c>
      <c r="M25" s="16">
        <f>L25-E25</f>
        <v>452.424</v>
      </c>
      <c r="N25" s="16">
        <f aca="true" t="shared" si="5" ref="N25:N36">IF(M25&lt;0,0,M25)</f>
        <v>452.424</v>
      </c>
      <c r="O25" s="16">
        <f aca="true" t="shared" si="6" ref="O25:O36">IF(M25&gt;0,0,ABS(M25))</f>
        <v>0</v>
      </c>
      <c r="P25" s="16">
        <f>IF((P36-M25)&gt;$B$11,$B$11,IF((P36-M25)&lt;0,0,P36-M25))</f>
        <v>0</v>
      </c>
      <c r="Q25" s="19">
        <f aca="true" t="shared" si="7" ref="Q25:Q36">P25/($B$10*1.163/1000)+30</f>
        <v>30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22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28</v>
      </c>
      <c r="E26" s="16">
        <f>D26*B12</f>
        <v>1120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526</v>
      </c>
      <c r="J26" s="18">
        <f t="shared" si="2"/>
        <v>901.7142857142857</v>
      </c>
      <c r="K26" s="16">
        <f t="shared" si="3"/>
        <v>260.512</v>
      </c>
      <c r="L26" s="16">
        <f t="shared" si="4"/>
        <v>1162.2262857142857</v>
      </c>
      <c r="M26" s="16">
        <f aca="true" t="shared" si="9" ref="M26:M36">L26-E26</f>
        <v>42.22628571428572</v>
      </c>
      <c r="N26" s="16">
        <f t="shared" si="5"/>
        <v>42.22628571428572</v>
      </c>
      <c r="O26" s="16">
        <f t="shared" si="6"/>
        <v>0</v>
      </c>
      <c r="P26" s="16">
        <f aca="true" t="shared" si="10" ref="P26:P36">IF((P25-M26)&gt;$B$11,$B$11,IF((P25-M26)&lt;0,0,P25-M26))</f>
        <v>0</v>
      </c>
      <c r="Q26" s="19">
        <f t="shared" si="7"/>
        <v>30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28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25</v>
      </c>
      <c r="E27" s="16">
        <f>D27*B12</f>
        <v>1000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456</v>
      </c>
      <c r="J27" s="18">
        <f t="shared" si="2"/>
        <v>781.7142857142857</v>
      </c>
      <c r="K27" s="16">
        <f t="shared" si="3"/>
        <v>288.42400000000004</v>
      </c>
      <c r="L27" s="16">
        <f t="shared" si="4"/>
        <v>1070.1382857142858</v>
      </c>
      <c r="M27" s="16">
        <f>L27-E27</f>
        <v>70.13828571428576</v>
      </c>
      <c r="N27" s="16">
        <f t="shared" si="5"/>
        <v>70.13828571428576</v>
      </c>
      <c r="O27" s="16">
        <f t="shared" si="6"/>
        <v>0</v>
      </c>
      <c r="P27" s="74">
        <f t="shared" si="10"/>
        <v>0</v>
      </c>
      <c r="Q27" s="19">
        <f t="shared" si="7"/>
        <v>30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25</v>
      </c>
      <c r="T27" s="36">
        <v>30</v>
      </c>
      <c r="V27" s="96">
        <v>22</v>
      </c>
      <c r="W27" s="96">
        <v>38</v>
      </c>
      <c r="X27" s="96">
        <v>50</v>
      </c>
      <c r="Y27" s="96">
        <v>66</v>
      </c>
      <c r="Z27" s="96">
        <v>78</v>
      </c>
      <c r="AA27" s="96">
        <v>75</v>
      </c>
      <c r="AB27" s="96">
        <v>87</v>
      </c>
      <c r="AC27" s="96">
        <v>90</v>
      </c>
      <c r="AD27" s="96">
        <v>67</v>
      </c>
      <c r="AE27" s="96">
        <v>41</v>
      </c>
      <c r="AF27" s="96">
        <v>24</v>
      </c>
      <c r="AG27" s="96">
        <v>17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24.335</v>
      </c>
      <c r="E28" s="16">
        <f>D28*B12</f>
        <v>973.4000000000001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319</v>
      </c>
      <c r="J28" s="18">
        <f t="shared" si="2"/>
        <v>546.8571428571428</v>
      </c>
      <c r="K28" s="16">
        <f t="shared" si="3"/>
        <v>279.12000000000006</v>
      </c>
      <c r="L28" s="16">
        <f t="shared" si="4"/>
        <v>825.9771428571428</v>
      </c>
      <c r="M28" s="16">
        <f t="shared" si="9"/>
        <v>-147.4228571428573</v>
      </c>
      <c r="N28" s="16">
        <f t="shared" si="5"/>
        <v>0</v>
      </c>
      <c r="O28" s="16">
        <f t="shared" si="6"/>
        <v>147.4228571428573</v>
      </c>
      <c r="P28" s="16">
        <f t="shared" si="10"/>
        <v>147.4228571428573</v>
      </c>
      <c r="Q28" s="19">
        <f t="shared" si="7"/>
        <v>43.48519576506625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24.335</v>
      </c>
      <c r="T28" s="36">
        <v>40</v>
      </c>
      <c r="V28" s="96">
        <v>18</v>
      </c>
      <c r="W28" s="96">
        <v>33</v>
      </c>
      <c r="X28" s="96">
        <v>43</v>
      </c>
      <c r="Y28" s="96">
        <v>57</v>
      </c>
      <c r="Z28" s="96">
        <v>67</v>
      </c>
      <c r="AA28" s="96">
        <v>65</v>
      </c>
      <c r="AB28" s="96">
        <v>76</v>
      </c>
      <c r="AC28" s="96">
        <v>79</v>
      </c>
      <c r="AD28" s="96">
        <v>58</v>
      </c>
      <c r="AE28" s="96">
        <v>35</v>
      </c>
      <c r="AF28" s="96">
        <v>19</v>
      </c>
      <c r="AG28" s="96">
        <v>14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25.740000000000002</v>
      </c>
      <c r="E29" s="16">
        <f>D29*B12</f>
        <v>1029.6000000000001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121</v>
      </c>
      <c r="J29" s="18">
        <f t="shared" si="2"/>
        <v>207.42857142857142</v>
      </c>
      <c r="K29" s="16">
        <f t="shared" si="3"/>
        <v>288.42400000000004</v>
      </c>
      <c r="L29" s="16">
        <f t="shared" si="4"/>
        <v>495.8525714285714</v>
      </c>
      <c r="M29" s="16">
        <f t="shared" si="9"/>
        <v>-533.7474285714287</v>
      </c>
      <c r="N29" s="16">
        <f t="shared" si="5"/>
        <v>0</v>
      </c>
      <c r="O29" s="16">
        <f t="shared" si="6"/>
        <v>533.7474285714287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25.740000000000002</v>
      </c>
      <c r="T29" s="36">
        <v>50</v>
      </c>
      <c r="V29" s="96">
        <v>15</v>
      </c>
      <c r="W29" s="96">
        <v>28</v>
      </c>
      <c r="X29" s="96">
        <v>36</v>
      </c>
      <c r="Y29" s="96">
        <v>50</v>
      </c>
      <c r="Z29" s="96">
        <v>58</v>
      </c>
      <c r="AA29" s="96">
        <v>55</v>
      </c>
      <c r="AB29" s="96">
        <v>66</v>
      </c>
      <c r="AC29" s="96">
        <v>69</v>
      </c>
      <c r="AD29" s="96">
        <v>50</v>
      </c>
      <c r="AE29" s="96">
        <v>29</v>
      </c>
      <c r="AF29" s="96">
        <v>16</v>
      </c>
      <c r="AG29" s="96">
        <v>11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18.599999999999998</v>
      </c>
      <c r="E30" s="16">
        <f>D30*B12</f>
        <v>743.9999999999999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35</v>
      </c>
      <c r="J30" s="18">
        <f t="shared" si="2"/>
        <v>60</v>
      </c>
      <c r="K30" s="16">
        <f t="shared" si="3"/>
        <v>279.12000000000006</v>
      </c>
      <c r="L30" s="16">
        <f t="shared" si="4"/>
        <v>339.12000000000006</v>
      </c>
      <c r="M30" s="16">
        <f t="shared" si="9"/>
        <v>-404.8799999999998</v>
      </c>
      <c r="N30" s="16">
        <f t="shared" si="5"/>
        <v>0</v>
      </c>
      <c r="O30" s="16">
        <f t="shared" si="6"/>
        <v>404.8799999999998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18.599999999999998</v>
      </c>
      <c r="T30" s="36">
        <v>60</v>
      </c>
      <c r="V30" s="96">
        <v>12</v>
      </c>
      <c r="W30" s="96">
        <v>24</v>
      </c>
      <c r="X30" s="96">
        <v>30</v>
      </c>
      <c r="Y30" s="96">
        <v>43</v>
      </c>
      <c r="Z30" s="96">
        <v>49</v>
      </c>
      <c r="AA30" s="96">
        <v>46</v>
      </c>
      <c r="AB30" s="96">
        <v>57</v>
      </c>
      <c r="AC30" s="96">
        <v>61</v>
      </c>
      <c r="AD30" s="96">
        <v>43</v>
      </c>
      <c r="AE30" s="96">
        <v>24</v>
      </c>
      <c r="AF30" s="96">
        <v>12</v>
      </c>
      <c r="AG30" s="96">
        <v>8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27.470000000000002</v>
      </c>
      <c r="E31" s="16">
        <f>D31*B12</f>
        <v>1098.8000000000002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5</v>
      </c>
      <c r="J31" s="18">
        <f t="shared" si="2"/>
        <v>8.571428571428571</v>
      </c>
      <c r="K31" s="16">
        <f t="shared" si="3"/>
        <v>288.42400000000004</v>
      </c>
      <c r="L31" s="16">
        <f t="shared" si="4"/>
        <v>296.9954285714286</v>
      </c>
      <c r="M31" s="16">
        <f t="shared" si="9"/>
        <v>-801.8045714285715</v>
      </c>
      <c r="N31" s="16">
        <f t="shared" si="5"/>
        <v>0</v>
      </c>
      <c r="O31" s="16">
        <f t="shared" si="6"/>
        <v>801.8045714285715</v>
      </c>
      <c r="P31" s="16">
        <f t="shared" si="10"/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27.470000000000002</v>
      </c>
      <c r="T31" s="36">
        <v>80</v>
      </c>
      <c r="V31" s="96">
        <v>6</v>
      </c>
      <c r="W31" s="96">
        <v>16</v>
      </c>
      <c r="X31" s="96">
        <v>20</v>
      </c>
      <c r="Y31" s="96">
        <v>31</v>
      </c>
      <c r="Z31" s="96">
        <v>33</v>
      </c>
      <c r="AA31" s="96">
        <v>31</v>
      </c>
      <c r="AB31" s="96">
        <v>41</v>
      </c>
      <c r="AC31" s="96">
        <v>44</v>
      </c>
      <c r="AD31" s="96">
        <v>30</v>
      </c>
      <c r="AE31" s="96">
        <v>16</v>
      </c>
      <c r="AF31" s="96">
        <v>7</v>
      </c>
      <c r="AG31" s="96">
        <v>4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29.040000000000003</v>
      </c>
      <c r="E32" s="16">
        <f>D32*B12</f>
        <v>1161.6000000000001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8</v>
      </c>
      <c r="J32" s="18">
        <f t="shared" si="2"/>
        <v>13.714285714285714</v>
      </c>
      <c r="K32" s="16">
        <f t="shared" si="3"/>
        <v>288.42400000000004</v>
      </c>
      <c r="L32" s="16">
        <f t="shared" si="4"/>
        <v>302.13828571428576</v>
      </c>
      <c r="M32" s="16">
        <f t="shared" si="9"/>
        <v>-859.4617142857144</v>
      </c>
      <c r="N32" s="16">
        <f t="shared" si="5"/>
        <v>0</v>
      </c>
      <c r="O32" s="16">
        <f t="shared" si="6"/>
        <v>859.4617142857144</v>
      </c>
      <c r="P32" s="16">
        <f t="shared" si="10"/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29.040000000000003</v>
      </c>
      <c r="T32" s="36">
        <v>100</v>
      </c>
      <c r="V32" s="16">
        <f>V31*0.48</f>
        <v>2.88</v>
      </c>
      <c r="W32" s="16">
        <f>W31*0.53</f>
        <v>8.48</v>
      </c>
      <c r="X32" s="16">
        <f>X31*0.52</f>
        <v>10.4</v>
      </c>
      <c r="Y32" s="16">
        <f>Y31*0.57</f>
        <v>17.669999999999998</v>
      </c>
      <c r="Z32" s="16">
        <f>Z31*0.56</f>
        <v>18.48</v>
      </c>
      <c r="AA32" s="16">
        <f>AA31*0.6</f>
        <v>18.599999999999998</v>
      </c>
      <c r="AB32" s="16">
        <f>AB31*0.67</f>
        <v>27.470000000000002</v>
      </c>
      <c r="AC32" s="16">
        <f>AC31*0.66</f>
        <v>29.040000000000003</v>
      </c>
      <c r="AD32" s="16">
        <f>AD31*0.61</f>
        <v>18.3</v>
      </c>
      <c r="AE32" s="16">
        <f>AE31*0.48</f>
        <v>7.68</v>
      </c>
      <c r="AF32" s="16">
        <f>AF31*0.49</f>
        <v>3.4299999999999997</v>
      </c>
      <c r="AG32" s="16">
        <f>AG31*0.49</f>
        <v>1.96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24.15</v>
      </c>
      <c r="E33" s="16">
        <f>D33*B12</f>
        <v>966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84</v>
      </c>
      <c r="J33" s="18">
        <f t="shared" si="2"/>
        <v>144</v>
      </c>
      <c r="K33" s="16">
        <f t="shared" si="3"/>
        <v>279.12000000000006</v>
      </c>
      <c r="L33" s="16">
        <f t="shared" si="4"/>
        <v>423.12000000000006</v>
      </c>
      <c r="M33" s="16">
        <f t="shared" si="9"/>
        <v>-542.8799999999999</v>
      </c>
      <c r="N33" s="16">
        <f t="shared" si="5"/>
        <v>0</v>
      </c>
      <c r="O33" s="16">
        <f t="shared" si="6"/>
        <v>542.8799999999999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24.15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16</v>
      </c>
      <c r="E34" s="16">
        <f>D34*B12</f>
        <v>640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287</v>
      </c>
      <c r="J34" s="18">
        <f t="shared" si="2"/>
        <v>492</v>
      </c>
      <c r="K34" s="16">
        <f t="shared" si="3"/>
        <v>288.42400000000004</v>
      </c>
      <c r="L34" s="16">
        <f t="shared" si="4"/>
        <v>780.424</v>
      </c>
      <c r="M34" s="16">
        <f>L34-E34</f>
        <v>140.42399999999998</v>
      </c>
      <c r="N34" s="16">
        <f t="shared" si="5"/>
        <v>140.42399999999998</v>
      </c>
      <c r="O34" s="16">
        <f t="shared" si="6"/>
        <v>0</v>
      </c>
      <c r="P34" s="16">
        <f t="shared" si="10"/>
        <v>515.3899534883722</v>
      </c>
      <c r="Q34" s="19">
        <f t="shared" si="7"/>
        <v>77.14421191419588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16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16</v>
      </c>
      <c r="E35" s="16">
        <f>D35*B12</f>
        <v>640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472</v>
      </c>
      <c r="J35" s="18">
        <f t="shared" si="2"/>
        <v>809.1428571428571</v>
      </c>
      <c r="K35" s="16">
        <f t="shared" si="3"/>
        <v>279.12000000000006</v>
      </c>
      <c r="L35" s="16">
        <f t="shared" si="4"/>
        <v>1088.2628571428572</v>
      </c>
      <c r="M35" s="16">
        <f t="shared" si="9"/>
        <v>448.26285714285723</v>
      </c>
      <c r="N35" s="16">
        <f t="shared" si="5"/>
        <v>448.26285714285723</v>
      </c>
      <c r="O35" s="16">
        <f t="shared" si="6"/>
        <v>0</v>
      </c>
      <c r="P35" s="16">
        <f t="shared" si="10"/>
        <v>67.12709634551493</v>
      </c>
      <c r="Q35" s="19">
        <f t="shared" si="7"/>
        <v>36.14030994177887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16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17</v>
      </c>
      <c r="E36" s="22">
        <f>D36*B12</f>
        <v>680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574</v>
      </c>
      <c r="J36" s="24">
        <f t="shared" si="2"/>
        <v>984</v>
      </c>
      <c r="K36" s="22">
        <f t="shared" si="3"/>
        <v>288.42400000000004</v>
      </c>
      <c r="L36" s="22">
        <f t="shared" si="4"/>
        <v>1272.424</v>
      </c>
      <c r="M36" s="22">
        <f t="shared" si="9"/>
        <v>592.424</v>
      </c>
      <c r="N36" s="22">
        <f t="shared" si="5"/>
        <v>592.424</v>
      </c>
      <c r="O36" s="22">
        <f t="shared" si="6"/>
        <v>0</v>
      </c>
      <c r="P36" s="22">
        <f t="shared" si="10"/>
        <v>0</v>
      </c>
      <c r="Q36" s="25">
        <f t="shared" si="7"/>
        <v>30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17</v>
      </c>
      <c r="T36" s="36" t="s">
        <v>81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10933.400000000001</v>
      </c>
      <c r="F37" s="28"/>
      <c r="G37" s="28"/>
      <c r="H37" s="28"/>
      <c r="I37" s="30">
        <f>SUM(I25:I36)</f>
        <v>3496</v>
      </c>
      <c r="J37" s="29">
        <f>SUM(J25:J36)</f>
        <v>5993.142857142857</v>
      </c>
      <c r="K37" s="29">
        <f>SUM(K25:K36)</f>
        <v>3395.96</v>
      </c>
      <c r="L37" s="29">
        <f>SUM(L25:L36)</f>
        <v>9389.102857142858</v>
      </c>
      <c r="M37" s="29">
        <f>IF(O37&gt;B11,N37-B11,SUM(M25:M36))</f>
        <v>1090.0854750830565</v>
      </c>
      <c r="N37" s="29">
        <f>SUM(N25:N36)</f>
        <v>1745.8994285714286</v>
      </c>
      <c r="O37" s="29">
        <f>SUM(O25:O36)</f>
        <v>3290.1965714285716</v>
      </c>
      <c r="P37" s="28"/>
      <c r="Q37" s="31"/>
      <c r="T37" s="98" t="s">
        <v>88</v>
      </c>
      <c r="U37" s="49"/>
      <c r="V37" s="97">
        <v>609</v>
      </c>
      <c r="W37" s="97">
        <v>526</v>
      </c>
      <c r="X37" s="97">
        <v>456</v>
      </c>
      <c r="Y37" s="97">
        <v>319</v>
      </c>
      <c r="Z37" s="97">
        <v>121</v>
      </c>
      <c r="AA37" s="97">
        <v>35</v>
      </c>
      <c r="AB37" s="97">
        <v>5</v>
      </c>
      <c r="AC37" s="97">
        <v>8</v>
      </c>
      <c r="AD37" s="97">
        <v>84</v>
      </c>
      <c r="AE37" s="97">
        <v>287</v>
      </c>
      <c r="AF37" s="97">
        <v>472</v>
      </c>
      <c r="AG37" s="97">
        <v>574</v>
      </c>
    </row>
    <row r="38" ht="12.75" customHeight="1">
      <c r="T38" s="72" t="s">
        <v>82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78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176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175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79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80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83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134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135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136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137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138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139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140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141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142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143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144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145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146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147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148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149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150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151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152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153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154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155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156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157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158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159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160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161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162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163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164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165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166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167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168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169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170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88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171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172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173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174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107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108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109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110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111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112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113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114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115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116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117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118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119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120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121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122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123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124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125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126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127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128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129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130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131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132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133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2009-02-24T09:36:19Z</cp:lastPrinted>
  <dcterms:created xsi:type="dcterms:W3CDTF">1990-12-08T08:17:10Z</dcterms:created>
  <dcterms:modified xsi:type="dcterms:W3CDTF">2016-10-27T08:40:15Z</dcterms:modified>
  <cp:category/>
  <cp:version/>
  <cp:contentType/>
  <cp:contentStatus/>
</cp:coreProperties>
</file>