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9215" windowHeight="6750" activeTab="0"/>
  </bookViews>
  <sheets>
    <sheet name="Solarer Deckungsgrad" sheetId="1" r:id="rId1"/>
    <sheet name="Kollektorleistungen" sheetId="2" r:id="rId2"/>
    <sheet name="HGT Heizgradtage Deutschland" sheetId="3" r:id="rId3"/>
    <sheet name="HGT Heizgradtage Schweiz" sheetId="4" r:id="rId4"/>
  </sheets>
  <definedNames/>
  <calcPr fullCalcOnLoad="1" iterate="1" iterateCount="1000" iterateDelta="1E-05"/>
</workbook>
</file>

<file path=xl/sharedStrings.xml><?xml version="1.0" encoding="utf-8"?>
<sst xmlns="http://schemas.openxmlformats.org/spreadsheetml/2006/main" count="236" uniqueCount="182">
  <si>
    <t>l</t>
  </si>
  <si>
    <t>°C</t>
  </si>
  <si>
    <t>Vollbetriebsstunden</t>
  </si>
  <si>
    <t>h</t>
  </si>
  <si>
    <t>Fensterfläche Süd</t>
  </si>
  <si>
    <t>Kollektor</t>
  </si>
  <si>
    <t>Kollfläche</t>
  </si>
  <si>
    <t>Südfenster</t>
  </si>
  <si>
    <t>Wärmebedarf</t>
  </si>
  <si>
    <t>Total</t>
  </si>
  <si>
    <t>kWh</t>
  </si>
  <si>
    <t>Januar</t>
  </si>
  <si>
    <t>Februar</t>
  </si>
  <si>
    <t>März</t>
  </si>
  <si>
    <t>April</t>
  </si>
  <si>
    <t>Mai</t>
  </si>
  <si>
    <t>Juni</t>
  </si>
  <si>
    <t>Juli</t>
  </si>
  <si>
    <t xml:space="preserve">August </t>
  </si>
  <si>
    <t>September</t>
  </si>
  <si>
    <t>Oktober</t>
  </si>
  <si>
    <t>November</t>
  </si>
  <si>
    <t>Dezember</t>
  </si>
  <si>
    <t>Solarer Deckungsgrad</t>
  </si>
  <si>
    <t>Anzahl Personen</t>
  </si>
  <si>
    <t>Tage</t>
  </si>
  <si>
    <t>kW    bei</t>
  </si>
  <si>
    <t>Neigung</t>
  </si>
  <si>
    <t>Süd 70°</t>
  </si>
  <si>
    <t>Globalstrahlung</t>
  </si>
  <si>
    <t>Objekt:</t>
  </si>
  <si>
    <t>-</t>
  </si>
  <si>
    <t>Innere Abwärme</t>
  </si>
  <si>
    <t>Fehlbetrag</t>
  </si>
  <si>
    <t>%</t>
  </si>
  <si>
    <t>Verlustfaktor</t>
  </si>
  <si>
    <t>Glasanteil an Fensterfl.</t>
  </si>
  <si>
    <t>Energiedurchlassgrad</t>
  </si>
  <si>
    <t>max. E-Inhalt Speicher</t>
  </si>
  <si>
    <t>Warmwasserbedarf</t>
  </si>
  <si>
    <t>Koll Temp.</t>
  </si>
  <si>
    <t>WW</t>
  </si>
  <si>
    <t>SP_IN</t>
  </si>
  <si>
    <t>SP_OUT</t>
  </si>
  <si>
    <t>SP Saldo</t>
  </si>
  <si>
    <t>Tsp</t>
  </si>
  <si>
    <t>Manko:</t>
  </si>
  <si>
    <t>Überschuss:</t>
  </si>
  <si>
    <r>
      <t>m</t>
    </r>
    <r>
      <rPr>
        <vertAlign val="superscript"/>
        <sz val="10"/>
        <rFont val="Arial"/>
        <family val="2"/>
      </rPr>
      <t>2</t>
    </r>
  </si>
  <si>
    <r>
      <t>kWh/m</t>
    </r>
    <r>
      <rPr>
        <b/>
        <vertAlign val="superscript"/>
        <sz val="10"/>
        <rFont val="Arial"/>
        <family val="2"/>
      </rPr>
      <t>2</t>
    </r>
  </si>
  <si>
    <r>
      <t>Wärmebedarf Q</t>
    </r>
    <r>
      <rPr>
        <vertAlign val="subscript"/>
        <sz val="10"/>
        <rFont val="Arial"/>
        <family val="2"/>
      </rPr>
      <t>H</t>
    </r>
  </si>
  <si>
    <t>Monat</t>
  </si>
  <si>
    <t>Ende</t>
  </si>
  <si>
    <t>Jan.</t>
  </si>
  <si>
    <t>Feb.</t>
  </si>
  <si>
    <t>Aug.</t>
  </si>
  <si>
    <t>Sep.</t>
  </si>
  <si>
    <t>Okt.</t>
  </si>
  <si>
    <t>Nov.</t>
  </si>
  <si>
    <t>Dez.</t>
  </si>
  <si>
    <t>T [°C]</t>
  </si>
  <si>
    <t>Standort:</t>
  </si>
  <si>
    <t>Neigung:</t>
  </si>
  <si>
    <t>Ausrichtung:</t>
  </si>
  <si>
    <r>
      <t>Kollektor-Ertrag in kWh pro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Monat</t>
    </r>
  </si>
  <si>
    <t>Kollektortyp:</t>
  </si>
  <si>
    <t>mit grossem Speicher im Zentrum des Hauses</t>
  </si>
  <si>
    <t>HGT 12/20</t>
  </si>
  <si>
    <t>°</t>
  </si>
  <si>
    <t>Endergebnis</t>
  </si>
  <si>
    <t>Formelberechnet/übernommen</t>
  </si>
  <si>
    <t>kWh/m²</t>
  </si>
  <si>
    <t>l/Tag, 60°C</t>
  </si>
  <si>
    <r>
      <t>D</t>
    </r>
    <r>
      <rPr>
        <sz val="10"/>
        <rFont val="Arial"/>
        <family val="0"/>
      </rPr>
      <t>T = 50K</t>
    </r>
  </si>
  <si>
    <t>LTS Kollektortyp</t>
  </si>
  <si>
    <t>Eingabe Objektname/Heizgradtage/Grunddaten/Arbeitstemperatur etc.</t>
  </si>
  <si>
    <t>LTS</t>
  </si>
  <si>
    <t>Ermittlung des solaren Deckungsgrades für Sonnehäuser</t>
  </si>
  <si>
    <r>
      <t>©</t>
    </r>
    <r>
      <rPr>
        <b/>
        <i/>
        <sz val="10"/>
        <rFont val="Arial"/>
        <family val="2"/>
      </rPr>
      <t>Jenni Energietechnik AG, www.jenni.ch</t>
    </r>
  </si>
  <si>
    <t>Die vorliegenden Informationen entsprechen dem aktuellen Stand unserer Erfahrungen.</t>
  </si>
  <si>
    <t>Rechtsansprüche können daraus keine abgeleitet werden.</t>
  </si>
  <si>
    <t>Heizgradtage</t>
  </si>
  <si>
    <t>HGT 12/20: Datenquelle -&gt; siehe weitere Tabellenblätter</t>
  </si>
  <si>
    <r>
      <t xml:space="preserve">Printscreen aus dem SPF Kollektorkatalog. Der Kollektorkatalog kann als CD-ROM bezogen werden bei: </t>
    </r>
    <r>
      <rPr>
        <b/>
        <sz val="10"/>
        <rFont val="Arial"/>
        <family val="2"/>
      </rPr>
      <t>www.spf.ch</t>
    </r>
  </si>
  <si>
    <r>
      <t xml:space="preserve">Speicher </t>
    </r>
    <r>
      <rPr>
        <b/>
        <sz val="8"/>
        <rFont val="Antique Olive"/>
        <family val="2"/>
      </rPr>
      <t>Swiss Solartank</t>
    </r>
    <r>
      <rPr>
        <b/>
        <sz val="10"/>
        <rFont val="Antique Olive"/>
        <family val="2"/>
      </rPr>
      <t>®</t>
    </r>
  </si>
  <si>
    <t>Solarsystem Jenni</t>
  </si>
  <si>
    <t>Muster, Straubing (DE)</t>
  </si>
  <si>
    <t>Straubing</t>
  </si>
  <si>
    <t>Solar Partner</t>
  </si>
  <si>
    <t>Kollektorertrag</t>
  </si>
  <si>
    <t>Klimastation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</si>
  <si>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</si>
  <si>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</si>
  <si>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</si>
  <si>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</si>
  <si>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</si>
  <si>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</si>
  <si>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</si>
  <si>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</si>
  <si>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</si>
  <si>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</si>
  <si>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</si>
  <si>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HGT 20/12</t>
  </si>
  <si>
    <t>Airolo</t>
  </si>
  <si>
    <t>Bad Ragaz</t>
  </si>
  <si>
    <t>Basel-Binningen</t>
  </si>
  <si>
    <t>Beatenberg</t>
  </si>
  <si>
    <t>Bern</t>
  </si>
  <si>
    <t>Beznau</t>
  </si>
  <si>
    <t>Comprovasco</t>
  </si>
  <si>
    <t>Davos</t>
  </si>
  <si>
    <t>Delsberg</t>
  </si>
  <si>
    <t>Disentis</t>
  </si>
  <si>
    <t>Einsiedeln</t>
  </si>
  <si>
    <t>Fey-Nendaz</t>
  </si>
  <si>
    <t>Fribourg</t>
  </si>
  <si>
    <t>Genf</t>
  </si>
  <si>
    <t>Glarus</t>
  </si>
  <si>
    <t>Heiden</t>
  </si>
  <si>
    <t>Kreuzlingen</t>
  </si>
  <si>
    <t>la Chaux-de-Fonds</t>
  </si>
  <si>
    <t>Langenbruck</t>
  </si>
  <si>
    <t>Lausanne</t>
  </si>
  <si>
    <t>Locarno-Monti</t>
  </si>
  <si>
    <t>Lugano</t>
  </si>
  <si>
    <t>Luzern</t>
  </si>
  <si>
    <t>Montana</t>
  </si>
  <si>
    <t>Neuchâtel</t>
  </si>
  <si>
    <t>Olten</t>
  </si>
  <si>
    <t>Schaffhausen</t>
  </si>
  <si>
    <t>Sion</t>
  </si>
  <si>
    <t>St. Gallen</t>
  </si>
  <si>
    <t>Zürich SMA</t>
  </si>
  <si>
    <t>Zürich Stadt</t>
  </si>
  <si>
    <t>Aachen</t>
  </si>
  <si>
    <t>Augsburg</t>
  </si>
  <si>
    <t>Bamberg</t>
  </si>
  <si>
    <t>Berlin</t>
  </si>
  <si>
    <t>Bremen</t>
  </si>
  <si>
    <t>Dresden</t>
  </si>
  <si>
    <t>Düsseldorf</t>
  </si>
  <si>
    <t>Emden</t>
  </si>
  <si>
    <t>Erfurt</t>
  </si>
  <si>
    <t>Fichtelberg</t>
  </si>
  <si>
    <t>Frankfurt am Main</t>
  </si>
  <si>
    <t>Fritzlar</t>
  </si>
  <si>
    <t>Görlitz</t>
  </si>
  <si>
    <t>Greifswald</t>
  </si>
  <si>
    <t>Hamburg</t>
  </si>
  <si>
    <t>Hannover</t>
  </si>
  <si>
    <t>Hof</t>
  </si>
  <si>
    <t>Hohenpeissenberg</t>
  </si>
  <si>
    <t>Karlsruhe</t>
  </si>
  <si>
    <t>Kassel</t>
  </si>
  <si>
    <t>Kempten</t>
  </si>
  <si>
    <t>Konstanz</t>
  </si>
  <si>
    <t>Leipzig</t>
  </si>
  <si>
    <t>Lindenberg</t>
  </si>
  <si>
    <t>List/Sylt</t>
  </si>
  <si>
    <t>Magdeburg</t>
  </si>
  <si>
    <t>Meiningen</t>
  </si>
  <si>
    <t>München</t>
  </si>
  <si>
    <t>Neuruppin</t>
  </si>
  <si>
    <t>Nürburg</t>
  </si>
  <si>
    <t>Nürnberg</t>
  </si>
  <si>
    <t>Potsdam</t>
  </si>
  <si>
    <t>Rostock</t>
  </si>
  <si>
    <t>Saarbrücken</t>
  </si>
  <si>
    <t>Schleswig</t>
  </si>
  <si>
    <t>Schwerin</t>
  </si>
  <si>
    <t>Stuttgart</t>
  </si>
  <si>
    <t>Trier</t>
  </si>
  <si>
    <t>UFS TW Ems</t>
  </si>
  <si>
    <t>Westermakelsdorf</t>
  </si>
  <si>
    <t>Würzburg</t>
  </si>
  <si>
    <t>Die Annahmen/Daten müssen projektspezifisch hinterfragt und angepasst werden.</t>
  </si>
  <si>
    <t>Bei den Ergebnissen handelt es sich um Richtwerte, die nur so gut sind, wie die getroffenen Annahmen, auf denen sie basieren.</t>
  </si>
  <si>
    <t>° Abweichung v. Süd (+ Richt. Ost / - Richt. West*)</t>
  </si>
  <si>
    <t>*gilt für SPF-Kollektorkatalog 2008 oder jünger</t>
  </si>
  <si>
    <t>Kollektornutzfläche</t>
  </si>
  <si>
    <t>Datum:</t>
  </si>
  <si>
    <t>° Südabweichung (+O/-W)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</si>
</sst>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ntique Olive"/>
      <family val="2"/>
    </font>
    <font>
      <b/>
      <sz val="10"/>
      <name val="Antique Olive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BasicCommercial LT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1" fontId="0" fillId="34" borderId="11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1" fontId="0" fillId="35" borderId="13" xfId="0" applyNumberForma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/>
      <protection/>
    </xf>
    <xf numFmtId="1" fontId="0" fillId="34" borderId="15" xfId="0" applyNumberForma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1" fontId="0" fillId="34" borderId="18" xfId="0" applyNumberFormat="1" applyFill="1" applyBorder="1" applyAlignment="1" applyProtection="1">
      <alignment/>
      <protection/>
    </xf>
    <xf numFmtId="170" fontId="0" fillId="34" borderId="18" xfId="0" applyNumberForma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" fontId="0" fillId="35" borderId="22" xfId="0" applyNumberFormat="1" applyFill="1" applyBorder="1" applyAlignment="1" applyProtection="1">
      <alignment/>
      <protection/>
    </xf>
    <xf numFmtId="1" fontId="0" fillId="35" borderId="20" xfId="0" applyNumberFormat="1" applyFill="1" applyBorder="1" applyAlignment="1" applyProtection="1">
      <alignment/>
      <protection/>
    </xf>
    <xf numFmtId="1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1" fontId="0" fillId="35" borderId="23" xfId="0" applyNumberFormat="1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1" fontId="0" fillId="35" borderId="25" xfId="0" applyNumberFormat="1" applyFill="1" applyBorder="1" applyAlignment="1" applyProtection="1">
      <alignment/>
      <protection/>
    </xf>
    <xf numFmtId="1" fontId="0" fillId="35" borderId="24" xfId="0" applyNumberFormat="1" applyFill="1" applyBorder="1" applyAlignment="1" applyProtection="1">
      <alignment/>
      <protection/>
    </xf>
    <xf numFmtId="1" fontId="0" fillId="35" borderId="26" xfId="0" applyNumberFormat="1" applyFill="1" applyBorder="1" applyAlignment="1" applyProtection="1">
      <alignment/>
      <protection/>
    </xf>
    <xf numFmtId="170" fontId="0" fillId="35" borderId="25" xfId="0" applyNumberForma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1" fontId="1" fillId="34" borderId="28" xfId="0" applyNumberFormat="1" applyFont="1" applyFill="1" applyBorder="1" applyAlignment="1" applyProtection="1">
      <alignment/>
      <protection/>
    </xf>
    <xf numFmtId="1" fontId="1" fillId="34" borderId="27" xfId="0" applyNumberFormat="1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 horizontal="left"/>
      <protection/>
    </xf>
    <xf numFmtId="1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170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1" fillId="36" borderId="0" xfId="0" applyFont="1" applyFill="1" applyAlignment="1" applyProtection="1">
      <alignment horizontal="right"/>
      <protection/>
    </xf>
    <xf numFmtId="170" fontId="0" fillId="36" borderId="0" xfId="0" applyNumberFormat="1" applyFill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1" fontId="0" fillId="36" borderId="0" xfId="0" applyNumberFormat="1" applyFill="1" applyAlignment="1" applyProtection="1">
      <alignment/>
      <protection/>
    </xf>
    <xf numFmtId="170" fontId="1" fillId="36" borderId="0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170" fontId="0" fillId="36" borderId="0" xfId="0" applyNumberFormat="1" applyFill="1" applyBorder="1" applyAlignment="1" applyProtection="1">
      <alignment horizontal="right"/>
      <protection/>
    </xf>
    <xf numFmtId="1" fontId="0" fillId="36" borderId="0" xfId="0" applyNumberForma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/>
      <protection locked="0"/>
    </xf>
    <xf numFmtId="170" fontId="0" fillId="33" borderId="13" xfId="0" applyNumberForma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1" fillId="36" borderId="0" xfId="0" applyFont="1" applyFill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/>
    </xf>
    <xf numFmtId="1" fontId="0" fillId="36" borderId="0" xfId="0" applyNumberFormat="1" applyFill="1" applyBorder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 horizontal="right" vertical="center"/>
      <protection/>
    </xf>
    <xf numFmtId="0" fontId="1" fillId="36" borderId="0" xfId="0" applyFont="1" applyFill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 horizontal="left"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9" fillId="36" borderId="0" xfId="0" applyFont="1" applyFill="1" applyAlignment="1" applyProtection="1">
      <alignment/>
      <protection/>
    </xf>
    <xf numFmtId="0" fontId="0" fillId="35" borderId="13" xfId="0" applyFill="1" applyBorder="1" applyAlignment="1" applyProtection="1">
      <alignment vertical="center"/>
      <protection/>
    </xf>
    <xf numFmtId="1" fontId="0" fillId="35" borderId="22" xfId="0" applyNumberFormat="1" applyFill="1" applyBorder="1" applyAlignment="1">
      <alignment/>
    </xf>
    <xf numFmtId="0" fontId="13" fillId="36" borderId="0" xfId="0" applyFont="1" applyFill="1" applyAlignment="1" applyProtection="1">
      <alignment/>
      <protection/>
    </xf>
    <xf numFmtId="1" fontId="0" fillId="33" borderId="30" xfId="0" applyNumberFormat="1" applyFill="1" applyBorder="1" applyAlignment="1" applyProtection="1">
      <alignment/>
      <protection locked="0"/>
    </xf>
    <xf numFmtId="1" fontId="0" fillId="33" borderId="31" xfId="0" applyNumberFormat="1" applyFill="1" applyBorder="1" applyAlignment="1" applyProtection="1">
      <alignment/>
      <protection locked="0"/>
    </xf>
    <xf numFmtId="1" fontId="0" fillId="33" borderId="32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6" borderId="27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35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14" fontId="1" fillId="37" borderId="0" xfId="0" applyNumberFormat="1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</xdr:row>
      <xdr:rowOff>123825</xdr:rowOff>
    </xdr:from>
    <xdr:to>
      <xdr:col>16</xdr:col>
      <xdr:colOff>476250</xdr:colOff>
      <xdr:row>6</xdr:row>
      <xdr:rowOff>0</xdr:rowOff>
    </xdr:to>
    <xdr:grpSp>
      <xdr:nvGrpSpPr>
        <xdr:cNvPr id="1" name="Gruppieren 4"/>
        <xdr:cNvGrpSpPr>
          <a:grpSpLocks/>
        </xdr:cNvGrpSpPr>
      </xdr:nvGrpSpPr>
      <xdr:grpSpPr>
        <a:xfrm>
          <a:off x="4600575" y="361950"/>
          <a:ext cx="3724275" cy="990600"/>
          <a:chOff x="3390900" y="695325"/>
          <a:chExt cx="3724275" cy="990600"/>
        </a:xfrm>
        <a:solidFill>
          <a:srgbClr val="FFFFFF"/>
        </a:solidFill>
      </xdr:grpSpPr>
      <xdr:sp>
        <xdr:nvSpPr>
          <xdr:cNvPr id="2" name="Textfeld 5"/>
          <xdr:cNvSpPr txBox="1">
            <a:spLocks noChangeArrowheads="1"/>
          </xdr:cNvSpPr>
        </xdr:nvSpPr>
        <xdr:spPr>
          <a:xfrm>
            <a:off x="3733533" y="695325"/>
            <a:ext cx="3381642" cy="9906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Ihr Partner für erneuerbare Energien und solares Heizen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Lochbachstr.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22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CH-3414 Oberburg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T +41 34 420 30 00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F +41 34 420 30 01
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info@jenni.ch  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</a:t>
            </a:r>
            <a:r>
              <a:rPr lang="en-US" cap="none" sz="1000" b="0" i="0" u="none" baseline="0">
                <a:solidFill>
                  <a:srgbClr val="000000"/>
                </a:solidFill>
                <a:latin typeface="BasicCommercial LT Roman"/>
                <a:ea typeface="BasicCommercial LT Roman"/>
                <a:cs typeface="BasicCommercial LT Roman"/>
              </a:rPr>
              <a:t>  www.jenni.ch</a:t>
            </a:r>
          </a:p>
        </xdr:txBody>
      </xdr:sp>
      <xdr:pic>
        <xdr:nvPicPr>
          <xdr:cNvPr id="3" name="Grafik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392762" y="887997"/>
            <a:ext cx="2847208" cy="2865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142875</xdr:rowOff>
    </xdr:from>
    <xdr:to>
      <xdr:col>10</xdr:col>
      <xdr:colOff>28575</xdr:colOff>
      <xdr:row>33</xdr:row>
      <xdr:rowOff>123825</xdr:rowOff>
    </xdr:to>
    <xdr:pic>
      <xdr:nvPicPr>
        <xdr:cNvPr id="1" name="Picture 2" descr="straub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04800"/>
          <a:ext cx="6877050" cy="516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PageLayoutView="0" workbookViewId="0" topLeftCell="A1">
      <selection activeCell="B8" sqref="B8:D8"/>
    </sheetView>
  </sheetViews>
  <sheetFormatPr defaultColWidth="11.421875" defaultRowHeight="12.75"/>
  <cols>
    <col min="1" max="1" width="23.8515625" style="35" customWidth="1"/>
    <col min="2" max="2" width="6.57421875" style="35" customWidth="1"/>
    <col min="3" max="3" width="10.7109375" style="35" customWidth="1"/>
    <col min="4" max="4" width="10.00390625" style="35" customWidth="1"/>
    <col min="5" max="5" width="10.421875" style="35" customWidth="1"/>
    <col min="6" max="6" width="13.7109375" style="35" hidden="1" customWidth="1"/>
    <col min="7" max="7" width="9.8515625" style="35" hidden="1" customWidth="1"/>
    <col min="8" max="8" width="13.57421875" style="35" hidden="1" customWidth="1"/>
    <col min="9" max="9" width="6.7109375" style="35" hidden="1" customWidth="1"/>
    <col min="10" max="10" width="13.57421875" style="35" customWidth="1"/>
    <col min="11" max="11" width="11.7109375" style="35" bestFit="1" customWidth="1"/>
    <col min="12" max="12" width="9.28125" style="35" customWidth="1"/>
    <col min="13" max="13" width="11.57421875" style="35" customWidth="1"/>
    <col min="14" max="14" width="8.8515625" style="35" hidden="1" customWidth="1"/>
    <col min="15" max="15" width="8.28125" style="35" hidden="1" customWidth="1"/>
    <col min="16" max="16" width="10.00390625" style="35" customWidth="1"/>
    <col min="17" max="17" width="8.421875" style="35" customWidth="1"/>
    <col min="18" max="18" width="6.28125" style="35" customWidth="1"/>
    <col min="19" max="19" width="8.8515625" style="35" hidden="1" customWidth="1"/>
    <col min="20" max="20" width="12.7109375" style="35" customWidth="1"/>
    <col min="21" max="21" width="1.57421875" style="35" customWidth="1"/>
    <col min="22" max="33" width="5.7109375" style="35" customWidth="1"/>
    <col min="34" max="16384" width="11.421875" style="35" customWidth="1"/>
  </cols>
  <sheetData>
    <row r="1" ht="18.75" customHeight="1">
      <c r="A1" s="34" t="s">
        <v>77</v>
      </c>
    </row>
    <row r="2" spans="1:16" ht="18.75" customHeight="1">
      <c r="A2" s="34" t="s">
        <v>66</v>
      </c>
      <c r="P2" s="36"/>
    </row>
    <row r="3" spans="1:16" ht="18.75" customHeight="1">
      <c r="A3" s="75" t="s">
        <v>85</v>
      </c>
      <c r="P3" s="36"/>
    </row>
    <row r="4" spans="1:16" ht="18.75" customHeight="1">
      <c r="A4" s="34"/>
      <c r="B4" s="75"/>
      <c r="P4" s="36"/>
    </row>
    <row r="5" spans="1:16" ht="18.75" customHeight="1">
      <c r="A5" s="34"/>
      <c r="P5" s="36"/>
    </row>
    <row r="6" spans="1:4" ht="12.75" customHeight="1">
      <c r="A6" s="36" t="s">
        <v>180</v>
      </c>
      <c r="B6" s="107">
        <f ca="1">TODAY()</f>
        <v>42670</v>
      </c>
      <c r="C6" s="108"/>
      <c r="D6" s="99"/>
    </row>
    <row r="7" spans="1:22" ht="12.75" customHeight="1" thickBot="1">
      <c r="A7" s="36"/>
      <c r="B7" s="99"/>
      <c r="C7" s="99"/>
      <c r="D7" s="99"/>
      <c r="J7" s="37"/>
      <c r="L7" s="37"/>
      <c r="T7" s="38"/>
      <c r="U7" s="38"/>
      <c r="V7" s="38"/>
    </row>
    <row r="8" spans="1:22" ht="12.75" customHeight="1" thickBot="1">
      <c r="A8" s="36" t="s">
        <v>30</v>
      </c>
      <c r="B8" s="100" t="s">
        <v>86</v>
      </c>
      <c r="C8" s="101"/>
      <c r="D8" s="102"/>
      <c r="J8" s="37"/>
      <c r="L8" s="37"/>
      <c r="T8" s="38"/>
      <c r="U8" s="38"/>
      <c r="V8" s="38"/>
    </row>
    <row r="9" spans="20:22" ht="12.75" customHeight="1" thickBot="1">
      <c r="T9" s="38"/>
      <c r="U9" s="38"/>
      <c r="V9" s="38"/>
    </row>
    <row r="10" spans="1:22" ht="12.75" customHeight="1" thickBot="1">
      <c r="A10" s="59" t="s">
        <v>84</v>
      </c>
      <c r="B10" s="55">
        <v>9400</v>
      </c>
      <c r="C10" s="59" t="s">
        <v>0</v>
      </c>
      <c r="D10" s="39" t="str">
        <f>IF(B10/B12&gt;174.99,"Mindestspeichervolumen erfüllt","Speicher zu klein (mind. 175 l / m2)")</f>
        <v>Mindestspeichervolumen erfüllt</v>
      </c>
      <c r="E10" s="38"/>
      <c r="F10" s="38"/>
      <c r="G10" s="38"/>
      <c r="H10" s="38"/>
      <c r="I10" s="38"/>
      <c r="K10" s="2" t="s">
        <v>46</v>
      </c>
      <c r="L10" s="3">
        <f>IF(M37&gt;0,M37,0)</f>
        <v>706.3803322259134</v>
      </c>
      <c r="M10" s="4" t="s">
        <v>10</v>
      </c>
      <c r="O10" s="38"/>
      <c r="T10" s="38"/>
      <c r="U10" s="38"/>
      <c r="V10" s="38"/>
    </row>
    <row r="11" spans="1:22" ht="12.75" customHeight="1" thickBot="1">
      <c r="A11" s="38" t="s">
        <v>38</v>
      </c>
      <c r="B11" s="5">
        <f>B10*60/860</f>
        <v>655.8139534883721</v>
      </c>
      <c r="C11" s="59" t="s">
        <v>10</v>
      </c>
      <c r="D11" s="38"/>
      <c r="E11" s="38"/>
      <c r="F11" s="38"/>
      <c r="G11" s="38"/>
      <c r="H11" s="38"/>
      <c r="I11" s="38"/>
      <c r="K11" s="6" t="s">
        <v>47</v>
      </c>
      <c r="L11" s="7">
        <f>IF(M37&lt;0,ABS(M37),0)</f>
        <v>0</v>
      </c>
      <c r="M11" s="8" t="s">
        <v>10</v>
      </c>
      <c r="N11" s="38"/>
      <c r="O11" s="38"/>
      <c r="T11" s="38"/>
      <c r="U11" s="38"/>
      <c r="V11" s="38"/>
    </row>
    <row r="12" spans="1:22" ht="12.75" customHeight="1" thickBot="1">
      <c r="A12" s="38" t="s">
        <v>179</v>
      </c>
      <c r="B12" s="56">
        <v>40</v>
      </c>
      <c r="C12" s="59" t="s">
        <v>48</v>
      </c>
      <c r="D12" s="32">
        <f>AD15</f>
        <v>356</v>
      </c>
      <c r="E12" s="38" t="s">
        <v>74</v>
      </c>
      <c r="F12" s="38"/>
      <c r="G12" s="38"/>
      <c r="H12" s="38"/>
      <c r="I12" s="38"/>
      <c r="M12" s="38"/>
      <c r="N12" s="38"/>
      <c r="O12" s="38"/>
      <c r="T12" s="38"/>
      <c r="U12" s="38"/>
      <c r="V12" s="38"/>
    </row>
    <row r="13" spans="1:33" ht="12.75" customHeight="1" thickBot="1">
      <c r="A13" s="38" t="s">
        <v>27</v>
      </c>
      <c r="B13" s="32">
        <f>Y22</f>
        <v>45</v>
      </c>
      <c r="C13" s="59" t="s">
        <v>68</v>
      </c>
      <c r="D13" s="32">
        <f>Y23</f>
        <v>0</v>
      </c>
      <c r="E13" s="38" t="s">
        <v>181</v>
      </c>
      <c r="F13" s="38"/>
      <c r="G13" s="38"/>
      <c r="H13" s="38"/>
      <c r="I13" s="38"/>
      <c r="K13" s="9" t="s">
        <v>23</v>
      </c>
      <c r="L13" s="10"/>
      <c r="M13" s="11">
        <f>(L37-M37)/L37*100</f>
        <v>92.13781667033213</v>
      </c>
      <c r="N13" s="41"/>
      <c r="O13" s="41"/>
      <c r="P13" s="12" t="s">
        <v>34</v>
      </c>
      <c r="T13" s="61"/>
      <c r="U13" s="61"/>
      <c r="V13" s="58" t="s">
        <v>64</v>
      </c>
      <c r="W13" s="63"/>
      <c r="X13" s="63"/>
      <c r="Y13" s="63"/>
      <c r="Z13" s="63"/>
      <c r="AA13" s="63"/>
      <c r="AB13" s="63"/>
      <c r="AC13" s="63"/>
      <c r="AD13" s="63"/>
      <c r="AE13" s="61"/>
      <c r="AF13" s="61"/>
      <c r="AG13" s="61"/>
    </row>
    <row r="14" spans="1:33" s="61" customFormat="1" ht="12.75" customHeight="1" thickBot="1">
      <c r="A14" s="59" t="s">
        <v>50</v>
      </c>
      <c r="B14" s="60">
        <v>3</v>
      </c>
      <c r="C14" s="59" t="s">
        <v>26</v>
      </c>
      <c r="D14" s="73">
        <v>-8</v>
      </c>
      <c r="E14" s="59" t="s">
        <v>1</v>
      </c>
      <c r="F14" s="59"/>
      <c r="G14" s="59"/>
      <c r="H14" s="59"/>
      <c r="I14" s="59"/>
      <c r="K14" s="59"/>
      <c r="L14" s="59"/>
      <c r="M14" s="59"/>
      <c r="N14" s="62"/>
      <c r="O14" s="62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1" ht="12.75" customHeight="1" thickBot="1">
      <c r="A15" s="38" t="s">
        <v>2</v>
      </c>
      <c r="B15" s="57">
        <v>16</v>
      </c>
      <c r="C15" s="59" t="s">
        <v>3</v>
      </c>
      <c r="D15" s="38"/>
      <c r="E15" s="38"/>
      <c r="F15" s="38"/>
      <c r="G15" s="38"/>
      <c r="H15" s="38"/>
      <c r="I15" s="38"/>
      <c r="K15" s="9" t="s">
        <v>89</v>
      </c>
      <c r="L15" s="13"/>
      <c r="M15" s="10">
        <f>(L37-M37)/B12</f>
        <v>206.95377740863788</v>
      </c>
      <c r="N15" s="40"/>
      <c r="O15" s="40"/>
      <c r="P15" s="12" t="s">
        <v>71</v>
      </c>
      <c r="V15" s="36" t="s">
        <v>65</v>
      </c>
      <c r="W15" s="36"/>
      <c r="Y15" s="103" t="s">
        <v>88</v>
      </c>
      <c r="Z15" s="104"/>
      <c r="AA15" s="37"/>
      <c r="AB15" s="36"/>
      <c r="AD15" s="68">
        <v>356</v>
      </c>
      <c r="AE15" s="35" t="s">
        <v>76</v>
      </c>
    </row>
    <row r="16" spans="1:27" ht="12.75" customHeight="1" thickBot="1">
      <c r="A16" s="38" t="s">
        <v>39</v>
      </c>
      <c r="B16" s="57">
        <v>160</v>
      </c>
      <c r="C16" s="66" t="s">
        <v>72</v>
      </c>
      <c r="D16" s="67" t="s">
        <v>73</v>
      </c>
      <c r="E16" s="38"/>
      <c r="F16" s="38"/>
      <c r="G16" s="38"/>
      <c r="H16" s="38"/>
      <c r="I16" s="38"/>
      <c r="K16" s="38"/>
      <c r="L16" s="38"/>
      <c r="M16" s="38"/>
      <c r="N16" s="40"/>
      <c r="O16" s="42"/>
      <c r="Z16" s="37"/>
      <c r="AA16" s="37"/>
    </row>
    <row r="17" spans="1:27" ht="0.75" customHeight="1" hidden="1" thickBot="1">
      <c r="A17" s="38" t="s">
        <v>4</v>
      </c>
      <c r="B17" s="38">
        <v>14.24</v>
      </c>
      <c r="C17" s="59" t="s">
        <v>48</v>
      </c>
      <c r="D17" s="38"/>
      <c r="E17" s="38"/>
      <c r="F17" s="38"/>
      <c r="G17" s="38"/>
      <c r="H17" s="38"/>
      <c r="I17" s="38"/>
      <c r="Y17" s="43"/>
      <c r="Z17" s="44"/>
      <c r="AA17" s="37"/>
    </row>
    <row r="18" spans="1:27" ht="0.75" customHeight="1" hidden="1">
      <c r="A18" s="38" t="s">
        <v>36</v>
      </c>
      <c r="B18" s="38">
        <v>0.75</v>
      </c>
      <c r="C18" s="38" t="s">
        <v>31</v>
      </c>
      <c r="D18" s="38"/>
      <c r="E18" s="38"/>
      <c r="F18" s="38"/>
      <c r="G18" s="38"/>
      <c r="H18" s="38"/>
      <c r="I18" s="38"/>
      <c r="Y18" s="43"/>
      <c r="Z18" s="44"/>
      <c r="AA18" s="37"/>
    </row>
    <row r="19" spans="1:27" ht="0.75" customHeight="1" hidden="1" thickBot="1">
      <c r="A19" s="38" t="s">
        <v>35</v>
      </c>
      <c r="B19" s="38">
        <v>0.6</v>
      </c>
      <c r="C19" s="38" t="s">
        <v>31</v>
      </c>
      <c r="D19" s="38"/>
      <c r="E19" s="38"/>
      <c r="F19" s="38"/>
      <c r="G19" s="38"/>
      <c r="H19" s="38"/>
      <c r="I19" s="38"/>
      <c r="Y19" s="43"/>
      <c r="Z19" s="44"/>
      <c r="AA19" s="37"/>
    </row>
    <row r="20" spans="1:27" ht="0.75" customHeight="1" hidden="1" thickBot="1">
      <c r="A20" s="38" t="s">
        <v>37</v>
      </c>
      <c r="B20" s="38">
        <v>0.95</v>
      </c>
      <c r="C20" s="38" t="s">
        <v>31</v>
      </c>
      <c r="D20" s="38"/>
      <c r="E20" s="38"/>
      <c r="F20" s="38"/>
      <c r="G20" s="38"/>
      <c r="H20" s="38"/>
      <c r="I20" s="38"/>
      <c r="Y20" s="43"/>
      <c r="Z20" s="44"/>
      <c r="AA20" s="37"/>
    </row>
    <row r="21" spans="1:27" ht="0.75" customHeight="1" hidden="1" thickBot="1">
      <c r="A21" s="38" t="s">
        <v>24</v>
      </c>
      <c r="B21" s="38">
        <v>2</v>
      </c>
      <c r="C21" s="38" t="s">
        <v>31</v>
      </c>
      <c r="D21" s="38"/>
      <c r="E21" s="38"/>
      <c r="F21" s="38"/>
      <c r="G21" s="38"/>
      <c r="H21" s="38"/>
      <c r="I21" s="38"/>
      <c r="V21" s="36" t="s">
        <v>61</v>
      </c>
      <c r="W21" s="36"/>
      <c r="Y21" s="70"/>
      <c r="Z21" s="71"/>
      <c r="AA21" s="37"/>
    </row>
    <row r="22" spans="16:33" ht="12.75" customHeight="1" thickBot="1">
      <c r="P22" s="45" t="s">
        <v>52</v>
      </c>
      <c r="Q22" s="35" t="s">
        <v>51</v>
      </c>
      <c r="T22" s="61"/>
      <c r="U22" s="61"/>
      <c r="V22" s="58" t="s">
        <v>62</v>
      </c>
      <c r="W22" s="58"/>
      <c r="X22" s="61"/>
      <c r="Y22" s="105">
        <v>45</v>
      </c>
      <c r="Z22" s="106"/>
      <c r="AA22" s="63" t="s">
        <v>68</v>
      </c>
      <c r="AB22" s="61"/>
      <c r="AC22" s="61"/>
      <c r="AD22" s="61"/>
      <c r="AE22" s="61"/>
      <c r="AF22" s="61"/>
      <c r="AG22" s="61"/>
    </row>
    <row r="23" spans="1:27" s="61" customFormat="1" ht="12.75" customHeight="1" thickBot="1">
      <c r="A23" s="59"/>
      <c r="B23" s="64" t="s">
        <v>25</v>
      </c>
      <c r="C23" s="64" t="s">
        <v>40</v>
      </c>
      <c r="D23" s="64" t="s">
        <v>5</v>
      </c>
      <c r="E23" s="64" t="s">
        <v>6</v>
      </c>
      <c r="F23" s="64" t="s">
        <v>29</v>
      </c>
      <c r="G23" s="64" t="s">
        <v>7</v>
      </c>
      <c r="H23" s="64" t="s">
        <v>32</v>
      </c>
      <c r="I23" s="64" t="s">
        <v>67</v>
      </c>
      <c r="J23" s="64" t="s">
        <v>8</v>
      </c>
      <c r="K23" s="64" t="s">
        <v>41</v>
      </c>
      <c r="L23" s="64" t="s">
        <v>9</v>
      </c>
      <c r="M23" s="64" t="s">
        <v>33</v>
      </c>
      <c r="N23" s="64" t="s">
        <v>43</v>
      </c>
      <c r="O23" s="64" t="s">
        <v>42</v>
      </c>
      <c r="P23" s="65" t="s">
        <v>44</v>
      </c>
      <c r="Q23" s="65" t="s">
        <v>45</v>
      </c>
      <c r="V23" s="58" t="s">
        <v>63</v>
      </c>
      <c r="W23" s="58"/>
      <c r="Y23" s="105">
        <v>0</v>
      </c>
      <c r="Z23" s="106"/>
      <c r="AA23" s="63" t="s">
        <v>177</v>
      </c>
    </row>
    <row r="24" spans="1:33" s="61" customFormat="1" ht="12.75" customHeight="1" thickBot="1">
      <c r="A24" s="59"/>
      <c r="B24" s="64" t="s">
        <v>31</v>
      </c>
      <c r="C24" s="64" t="s">
        <v>1</v>
      </c>
      <c r="D24" s="64" t="s">
        <v>49</v>
      </c>
      <c r="E24" s="64" t="s">
        <v>10</v>
      </c>
      <c r="F24" s="64" t="s">
        <v>28</v>
      </c>
      <c r="G24" s="64" t="s">
        <v>10</v>
      </c>
      <c r="H24" s="64" t="s">
        <v>10</v>
      </c>
      <c r="I24" s="64"/>
      <c r="J24" s="64" t="s">
        <v>10</v>
      </c>
      <c r="K24" s="64" t="s">
        <v>10</v>
      </c>
      <c r="L24" s="64" t="s">
        <v>10</v>
      </c>
      <c r="M24" s="64" t="s">
        <v>10</v>
      </c>
      <c r="N24" s="64" t="s">
        <v>10</v>
      </c>
      <c r="O24" s="64" t="s">
        <v>10</v>
      </c>
      <c r="P24" s="65" t="s">
        <v>10</v>
      </c>
      <c r="Q24" s="65" t="s">
        <v>1</v>
      </c>
      <c r="T24" s="35"/>
      <c r="U24" s="35"/>
      <c r="V24" s="35"/>
      <c r="W24" s="35"/>
      <c r="X24" s="35"/>
      <c r="Y24" s="35"/>
      <c r="Z24" s="35"/>
      <c r="AA24" s="72" t="s">
        <v>178</v>
      </c>
      <c r="AB24" s="35"/>
      <c r="AC24" s="35"/>
      <c r="AD24" s="35"/>
      <c r="AE24" s="35"/>
      <c r="AF24" s="35"/>
      <c r="AG24" s="35"/>
    </row>
    <row r="25" spans="1:33" ht="12.75" customHeight="1">
      <c r="A25" s="46" t="s">
        <v>11</v>
      </c>
      <c r="B25" s="14">
        <v>31</v>
      </c>
      <c r="C25" s="76">
        <v>30</v>
      </c>
      <c r="D25" s="15">
        <f>S25</f>
        <v>26</v>
      </c>
      <c r="E25" s="16">
        <f>D25*B12</f>
        <v>1040</v>
      </c>
      <c r="F25" s="16">
        <v>40.8</v>
      </c>
      <c r="G25" s="16">
        <f aca="true" t="shared" si="0" ref="G25:G36">F25*$B$17*$B$18*$B$19*$B$20</f>
        <v>248.37407999999996</v>
      </c>
      <c r="H25" s="17">
        <f aca="true" t="shared" si="1" ref="H25:H36">(80*$B$21+100)*B25*24/1000</f>
        <v>193.44</v>
      </c>
      <c r="I25" s="16">
        <f>V37</f>
        <v>615</v>
      </c>
      <c r="J25" s="18">
        <f aca="true" t="shared" si="2" ref="J25:J36">I25*$B$14*($B$15/(20-$D$14))</f>
        <v>1054.2857142857142</v>
      </c>
      <c r="K25" s="16">
        <f aca="true" t="shared" si="3" ref="K25:K36">$B$16*B25*1.163*10^(-3)*50</f>
        <v>288.42400000000004</v>
      </c>
      <c r="L25" s="16">
        <f aca="true" t="shared" si="4" ref="L25:L36">J25+K25</f>
        <v>1342.7097142857142</v>
      </c>
      <c r="M25" s="16">
        <f>L25-E25</f>
        <v>302.7097142857142</v>
      </c>
      <c r="N25" s="16">
        <f aca="true" t="shared" si="5" ref="N25:N36">IF(M25&lt;0,0,M25)</f>
        <v>302.7097142857142</v>
      </c>
      <c r="O25" s="16">
        <f aca="true" t="shared" si="6" ref="O25:O36">IF(M25&gt;0,0,ABS(M25))</f>
        <v>0</v>
      </c>
      <c r="P25" s="16">
        <f>IF((P36-M25)&gt;$B$11,$B$11,IF((P36-M25)&lt;0,0,P36-M25))</f>
        <v>0</v>
      </c>
      <c r="Q25" s="19">
        <f aca="true" t="shared" si="7" ref="Q25:Q36">P25/($B$10*1.163/1000)+30</f>
        <v>30</v>
      </c>
      <c r="S25" s="48">
        <f>IF(C25&lt;=T27,V27,IF(C25&lt;=T28,(V28-V27)/(T28-T27)*(C25-T27)+V27,IF(C25&lt;=T29,(V29-V28)/(T29-T28)*(C25-T28)+V28,IF(C25&lt;=T30,(V30-V29)/(T30-T29)*(C25-T29)+V29,IF(C25&lt;=T31,(V31-V30)/(T31-T30)*(C25-T30)+V30,IF(C25&lt;=T32,(V32-V31)/(T32-T31)*(C25-T31)+V31,V32))))))</f>
        <v>26</v>
      </c>
      <c r="T25" s="47" t="s">
        <v>60</v>
      </c>
      <c r="V25" s="36" t="s">
        <v>53</v>
      </c>
      <c r="W25" s="36" t="s">
        <v>54</v>
      </c>
      <c r="X25" s="36" t="s">
        <v>13</v>
      </c>
      <c r="Y25" s="36" t="s">
        <v>14</v>
      </c>
      <c r="Z25" s="36" t="s">
        <v>15</v>
      </c>
      <c r="AA25" s="36" t="s">
        <v>16</v>
      </c>
      <c r="AB25" s="36" t="s">
        <v>17</v>
      </c>
      <c r="AC25" s="36" t="s">
        <v>55</v>
      </c>
      <c r="AD25" s="36" t="s">
        <v>56</v>
      </c>
      <c r="AE25" s="36" t="s">
        <v>57</v>
      </c>
      <c r="AF25" s="36" t="s">
        <v>58</v>
      </c>
      <c r="AG25" s="36" t="s">
        <v>59</v>
      </c>
    </row>
    <row r="26" spans="1:19" ht="12.75" customHeight="1">
      <c r="A26" s="46" t="s">
        <v>12</v>
      </c>
      <c r="B26" s="14">
        <v>28</v>
      </c>
      <c r="C26" s="77">
        <v>50</v>
      </c>
      <c r="D26" s="15">
        <f aca="true" t="shared" si="8" ref="D26:D36">S26</f>
        <v>25</v>
      </c>
      <c r="E26" s="16">
        <f>D26*B12</f>
        <v>1000</v>
      </c>
      <c r="F26" s="16">
        <v>64.3</v>
      </c>
      <c r="G26" s="16">
        <f t="shared" si="0"/>
        <v>391.43267999999995</v>
      </c>
      <c r="H26" s="17">
        <f t="shared" si="1"/>
        <v>174.72</v>
      </c>
      <c r="I26" s="20">
        <f>W37</f>
        <v>501</v>
      </c>
      <c r="J26" s="18">
        <f t="shared" si="2"/>
        <v>858.8571428571428</v>
      </c>
      <c r="K26" s="16">
        <f t="shared" si="3"/>
        <v>260.512</v>
      </c>
      <c r="L26" s="16">
        <f t="shared" si="4"/>
        <v>1119.3691428571428</v>
      </c>
      <c r="M26" s="16">
        <f aca="true" t="shared" si="9" ref="M26:M36">L26-E26</f>
        <v>119.36914285714283</v>
      </c>
      <c r="N26" s="16">
        <f t="shared" si="5"/>
        <v>119.36914285714283</v>
      </c>
      <c r="O26" s="16">
        <f t="shared" si="6"/>
        <v>0</v>
      </c>
      <c r="P26" s="16">
        <f aca="true" t="shared" si="10" ref="P26:P36">IF((P25-M26)&gt;$B$11,$B$11,IF((P25-M26)&lt;0,0,P25-M26))</f>
        <v>0</v>
      </c>
      <c r="Q26" s="19">
        <f t="shared" si="7"/>
        <v>30</v>
      </c>
      <c r="S26" s="48">
        <f>IF(C26&lt;=T27,W27,IF(C26&lt;=T28,(W28-W27)/(T28-T27)*(C26-T27)+W27,IF(C26&lt;=T29,(W29-W28)/(T29-T28)*(C26-T28)+W28,IF(C26&lt;=T30,(W30-W29)/(T30-T29)*(C26-T29)+W29,IF(C26&lt;=T31,(W31-W30)/(T31-T30)*(C26-T30)+W30,IF(C26&lt;=T32,(W32-W31)/(T32-T31)*(C26-T31)+W31,W32))))))</f>
        <v>25</v>
      </c>
    </row>
    <row r="27" spans="1:33" ht="12.75" customHeight="1">
      <c r="A27" s="46" t="s">
        <v>13</v>
      </c>
      <c r="B27" s="14">
        <v>31</v>
      </c>
      <c r="C27" s="77">
        <v>70</v>
      </c>
      <c r="D27" s="15">
        <f t="shared" si="8"/>
        <v>27.5</v>
      </c>
      <c r="E27" s="16">
        <f>D27*B12</f>
        <v>1100</v>
      </c>
      <c r="F27" s="16">
        <v>91.3</v>
      </c>
      <c r="G27" s="16">
        <f t="shared" si="0"/>
        <v>555.79788</v>
      </c>
      <c r="H27" s="17">
        <f t="shared" si="1"/>
        <v>193.44</v>
      </c>
      <c r="I27" s="16">
        <f>X37</f>
        <v>467</v>
      </c>
      <c r="J27" s="18">
        <f t="shared" si="2"/>
        <v>800.5714285714286</v>
      </c>
      <c r="K27" s="16">
        <f t="shared" si="3"/>
        <v>288.42400000000004</v>
      </c>
      <c r="L27" s="16">
        <f t="shared" si="4"/>
        <v>1088.9954285714286</v>
      </c>
      <c r="M27" s="16">
        <f>L27-E27</f>
        <v>-11.004571428571353</v>
      </c>
      <c r="N27" s="16">
        <f t="shared" si="5"/>
        <v>0</v>
      </c>
      <c r="O27" s="16">
        <f t="shared" si="6"/>
        <v>11.004571428571353</v>
      </c>
      <c r="P27" s="74">
        <f t="shared" si="10"/>
        <v>11.004571428571353</v>
      </c>
      <c r="Q27" s="19">
        <f t="shared" si="7"/>
        <v>31.00662002420111</v>
      </c>
      <c r="S27" s="48">
        <f>IF(C27&lt;=T27,X27,IF(C27&lt;=T28,(X28-X27)/(T28-T27)*(C27-T27)+X27,IF(C27&lt;=T29,(X29-X28)/(T29-T28)*(C27-T28)+X28,IF(C27&lt;=T30,(X30-X29)/(T30-T29)*(C27-T29)+X29,IF(C27&lt;=T31,(X31-X30)/(T31-T30)*(C27-T30)+X30,IF(C27&lt;=T32,(X32-X31)/(T32-T31)*(C27-T31)+X31,X32))))))</f>
        <v>27.5</v>
      </c>
      <c r="T27" s="36">
        <v>30</v>
      </c>
      <c r="V27" s="96">
        <v>26</v>
      </c>
      <c r="W27" s="96">
        <v>35</v>
      </c>
      <c r="X27" s="96">
        <v>54</v>
      </c>
      <c r="Y27" s="96">
        <v>69</v>
      </c>
      <c r="Z27" s="96">
        <v>86</v>
      </c>
      <c r="AA27" s="96">
        <v>82</v>
      </c>
      <c r="AB27" s="96">
        <v>90</v>
      </c>
      <c r="AC27" s="96">
        <v>89</v>
      </c>
      <c r="AD27" s="96">
        <v>76</v>
      </c>
      <c r="AE27" s="96">
        <v>54</v>
      </c>
      <c r="AF27" s="96">
        <v>22</v>
      </c>
      <c r="AG27" s="96">
        <v>20</v>
      </c>
    </row>
    <row r="28" spans="1:33" ht="12.75" customHeight="1">
      <c r="A28" s="46" t="s">
        <v>14</v>
      </c>
      <c r="B28" s="14">
        <v>30</v>
      </c>
      <c r="C28" s="77">
        <v>90</v>
      </c>
      <c r="D28" s="15">
        <f t="shared" si="8"/>
        <v>24.335</v>
      </c>
      <c r="E28" s="16">
        <f>D28*B12</f>
        <v>973.4000000000001</v>
      </c>
      <c r="F28" s="16">
        <v>110</v>
      </c>
      <c r="G28" s="16">
        <f t="shared" si="0"/>
        <v>669.6360000000001</v>
      </c>
      <c r="H28" s="17">
        <f t="shared" si="1"/>
        <v>187.2</v>
      </c>
      <c r="I28" s="16">
        <f>Y37</f>
        <v>255</v>
      </c>
      <c r="J28" s="18">
        <f t="shared" si="2"/>
        <v>437.1428571428571</v>
      </c>
      <c r="K28" s="16">
        <f t="shared" si="3"/>
        <v>279.12000000000006</v>
      </c>
      <c r="L28" s="16">
        <f t="shared" si="4"/>
        <v>716.2628571428572</v>
      </c>
      <c r="M28" s="16">
        <f t="shared" si="9"/>
        <v>-257.13714285714286</v>
      </c>
      <c r="N28" s="16">
        <f t="shared" si="5"/>
        <v>0</v>
      </c>
      <c r="O28" s="16">
        <f t="shared" si="6"/>
        <v>257.13714285714286</v>
      </c>
      <c r="P28" s="16">
        <f t="shared" si="10"/>
        <v>268.1417142857142</v>
      </c>
      <c r="Q28" s="19">
        <f t="shared" si="7"/>
        <v>54.52769929984031</v>
      </c>
      <c r="S28" s="48">
        <f>IF(C28&lt;=T27,Y27,IF(C28&lt;=T28,(Y28-Y27)/(T28-T27)*(C28-T27)+Y27,IF(C28&lt;=T29,(Y29-Y28)/(T29-T28)*(C28-T28)+Y28,IF(C28&lt;=T30,(Y30-Y29)/(T30-T29)*(C28-T29)+Y29,IF(C28&lt;=T31,(Y31-Y30)/(T31-T30)*(C28-T30)+Y30,IF(C28&lt;=T32,(Y32-Y31)/(T32-T31)*(C28-T31)+Y31,Y32))))))</f>
        <v>24.335</v>
      </c>
      <c r="T28" s="36">
        <v>40</v>
      </c>
      <c r="V28" s="96">
        <v>22</v>
      </c>
      <c r="W28" s="96">
        <v>30</v>
      </c>
      <c r="X28" s="96">
        <v>47</v>
      </c>
      <c r="Y28" s="96">
        <v>61</v>
      </c>
      <c r="Z28" s="96">
        <v>75</v>
      </c>
      <c r="AA28" s="96">
        <v>71</v>
      </c>
      <c r="AB28" s="96">
        <v>79</v>
      </c>
      <c r="AC28" s="96">
        <v>78</v>
      </c>
      <c r="AD28" s="96">
        <v>67</v>
      </c>
      <c r="AE28" s="96">
        <v>48</v>
      </c>
      <c r="AF28" s="96">
        <v>19</v>
      </c>
      <c r="AG28" s="96">
        <v>17</v>
      </c>
    </row>
    <row r="29" spans="1:33" ht="12.75" customHeight="1">
      <c r="A29" s="46" t="s">
        <v>15</v>
      </c>
      <c r="B29" s="14">
        <v>31</v>
      </c>
      <c r="C29" s="77">
        <v>90</v>
      </c>
      <c r="D29" s="15">
        <f t="shared" si="8"/>
        <v>31.200000000000003</v>
      </c>
      <c r="E29" s="16">
        <f>D29*B12</f>
        <v>1248</v>
      </c>
      <c r="F29" s="16">
        <v>118</v>
      </c>
      <c r="G29" s="16">
        <f t="shared" si="0"/>
        <v>718.3367999999999</v>
      </c>
      <c r="H29" s="17">
        <f t="shared" si="1"/>
        <v>193.44</v>
      </c>
      <c r="I29" s="16">
        <f>Z37</f>
        <v>110</v>
      </c>
      <c r="J29" s="18">
        <f t="shared" si="2"/>
        <v>188.57142857142856</v>
      </c>
      <c r="K29" s="16">
        <f t="shared" si="3"/>
        <v>288.42400000000004</v>
      </c>
      <c r="L29" s="16">
        <f t="shared" si="4"/>
        <v>476.9954285714286</v>
      </c>
      <c r="M29" s="16">
        <f t="shared" si="9"/>
        <v>-771.0045714285714</v>
      </c>
      <c r="N29" s="16">
        <f t="shared" si="5"/>
        <v>0</v>
      </c>
      <c r="O29" s="16">
        <f t="shared" si="6"/>
        <v>771.0045714285714</v>
      </c>
      <c r="P29" s="16">
        <f t="shared" si="10"/>
        <v>655.8139534883721</v>
      </c>
      <c r="Q29" s="19">
        <f t="shared" si="7"/>
        <v>89.98920194365014</v>
      </c>
      <c r="S29" s="48">
        <f>IF(C29&lt;=T27,Z27,IF(C29&lt;=T28,(Z28-Z27)/(T28-T27)*(C29-T27)+Z27,IF(C29&lt;=T29,(Z29-Z28)/(T29-T28)*(C29-T28)+Z28,IF(C29&lt;=T30,(Z30-Z29)/(T30-T29)*(C29-T29)+Z29,IF(C29&lt;=T31,(Z31-Z30)/(T31-T30)*(C29-T30)+Z30,IF(C29&lt;=T32,(Z32-Z31)/(T32-T31)*(C29-T31)+Z31,Z32))))))</f>
        <v>31.200000000000003</v>
      </c>
      <c r="T29" s="36">
        <v>50</v>
      </c>
      <c r="V29" s="96">
        <v>18</v>
      </c>
      <c r="W29" s="96">
        <v>25</v>
      </c>
      <c r="X29" s="96">
        <v>40</v>
      </c>
      <c r="Y29" s="96">
        <v>53</v>
      </c>
      <c r="Z29" s="96">
        <v>65</v>
      </c>
      <c r="AA29" s="96">
        <v>61</v>
      </c>
      <c r="AB29" s="96">
        <v>68</v>
      </c>
      <c r="AC29" s="96">
        <v>69</v>
      </c>
      <c r="AD29" s="96">
        <v>59</v>
      </c>
      <c r="AE29" s="96">
        <v>42</v>
      </c>
      <c r="AF29" s="96">
        <v>15</v>
      </c>
      <c r="AG29" s="96">
        <v>14</v>
      </c>
    </row>
    <row r="30" spans="1:33" ht="12.75" customHeight="1">
      <c r="A30" s="46" t="s">
        <v>16</v>
      </c>
      <c r="B30" s="14">
        <v>30</v>
      </c>
      <c r="C30" s="77">
        <v>100</v>
      </c>
      <c r="D30" s="15">
        <f t="shared" si="8"/>
        <v>21.599999999999998</v>
      </c>
      <c r="E30" s="16">
        <f>D30*B12</f>
        <v>863.9999999999999</v>
      </c>
      <c r="F30" s="16">
        <v>113</v>
      </c>
      <c r="G30" s="16">
        <f t="shared" si="0"/>
        <v>687.8988</v>
      </c>
      <c r="H30" s="17">
        <f t="shared" si="1"/>
        <v>187.2</v>
      </c>
      <c r="I30" s="16">
        <f>AA37</f>
        <v>23</v>
      </c>
      <c r="J30" s="18">
        <f t="shared" si="2"/>
        <v>39.42857142857142</v>
      </c>
      <c r="K30" s="16">
        <f t="shared" si="3"/>
        <v>279.12000000000006</v>
      </c>
      <c r="L30" s="16">
        <f t="shared" si="4"/>
        <v>318.5485714285715</v>
      </c>
      <c r="M30" s="16">
        <f t="shared" si="9"/>
        <v>-545.4514285714283</v>
      </c>
      <c r="N30" s="16">
        <f t="shared" si="5"/>
        <v>0</v>
      </c>
      <c r="O30" s="16">
        <f t="shared" si="6"/>
        <v>545.4514285714283</v>
      </c>
      <c r="P30" s="16">
        <f t="shared" si="10"/>
        <v>655.8139534883721</v>
      </c>
      <c r="Q30" s="19">
        <f t="shared" si="7"/>
        <v>89.98920194365014</v>
      </c>
      <c r="S30" s="48">
        <f>IF(C30&lt;=T27,AA27,IF(C30&lt;=T28,(AA28-AA27)/(T28-T27)*(C30-T27)+AA27,IF(C30&lt;=T29,(AA29-AA28)/(T29-T28)*(C30-T28)+AA28,IF(C30&lt;=T30,(AA30-AA29)/(T30-T29)*(C30-T29)+AA29,IF(C30&lt;=T31,(AA31-AA30)/(T31-T30)*(C30-T30)+AA30,IF(C30&lt;=T32,(AA32-AA31)/(T32-T31)*(C30-T31)+AA31,AA32))))))</f>
        <v>21.599999999999998</v>
      </c>
      <c r="T30" s="36">
        <v>60</v>
      </c>
      <c r="V30" s="96">
        <v>14</v>
      </c>
      <c r="W30" s="96">
        <v>20</v>
      </c>
      <c r="X30" s="96">
        <v>33</v>
      </c>
      <c r="Y30" s="96">
        <v>45</v>
      </c>
      <c r="Z30" s="96">
        <v>56</v>
      </c>
      <c r="AA30" s="96">
        <v>52</v>
      </c>
      <c r="AB30" s="96">
        <v>59</v>
      </c>
      <c r="AC30" s="96">
        <v>60</v>
      </c>
      <c r="AD30" s="96">
        <v>51</v>
      </c>
      <c r="AE30" s="96">
        <v>36</v>
      </c>
      <c r="AF30" s="96">
        <v>12</v>
      </c>
      <c r="AG30" s="96">
        <v>11</v>
      </c>
    </row>
    <row r="31" spans="1:33" ht="12.75" customHeight="1">
      <c r="A31" s="46" t="s">
        <v>17</v>
      </c>
      <c r="B31" s="14">
        <v>31</v>
      </c>
      <c r="C31" s="77">
        <v>100</v>
      </c>
      <c r="D31" s="15">
        <f t="shared" si="8"/>
        <v>27.470000000000002</v>
      </c>
      <c r="E31" s="16">
        <f>D31*B12</f>
        <v>1098.8000000000002</v>
      </c>
      <c r="F31" s="16">
        <v>126</v>
      </c>
      <c r="G31" s="16">
        <f t="shared" si="0"/>
        <v>767.0376</v>
      </c>
      <c r="H31" s="17">
        <f t="shared" si="1"/>
        <v>193.44</v>
      </c>
      <c r="I31" s="16">
        <f>AB37</f>
        <v>7</v>
      </c>
      <c r="J31" s="18">
        <f t="shared" si="2"/>
        <v>12</v>
      </c>
      <c r="K31" s="16">
        <f t="shared" si="3"/>
        <v>288.42400000000004</v>
      </c>
      <c r="L31" s="16">
        <f t="shared" si="4"/>
        <v>300.42400000000004</v>
      </c>
      <c r="M31" s="16">
        <f t="shared" si="9"/>
        <v>-798.3760000000002</v>
      </c>
      <c r="N31" s="16">
        <f t="shared" si="5"/>
        <v>0</v>
      </c>
      <c r="O31" s="16">
        <f t="shared" si="6"/>
        <v>798.3760000000002</v>
      </c>
      <c r="P31" s="16">
        <f t="shared" si="10"/>
        <v>655.8139534883721</v>
      </c>
      <c r="Q31" s="19">
        <f t="shared" si="7"/>
        <v>89.98920194365014</v>
      </c>
      <c r="S31" s="48">
        <f>IF(C31&lt;=T27,AB27,IF(C31&lt;=T28,(AB28-AB27)/(T28-T27)*(C31-T27)+AB27,IF(C31&lt;=T29,(AB29-AB28)/(T29-T28)*(C31-T28)+AB28,IF(C31&lt;=T30,(AB30-AB29)/(T30-T29)*(C31-T29)+AB29,IF(C31&lt;=T31,(AB31-AB30)/(T31-T30)*(C31-T30)+AB30,IF(C31&lt;=T32,(AB32-AB31)/(T32-T31)*(C31-T31)+AB31,AB32))))))</f>
        <v>27.470000000000002</v>
      </c>
      <c r="T31" s="36">
        <v>80</v>
      </c>
      <c r="V31" s="96">
        <v>8</v>
      </c>
      <c r="W31" s="96">
        <v>12</v>
      </c>
      <c r="X31" s="96">
        <v>22</v>
      </c>
      <c r="Y31" s="96">
        <v>31</v>
      </c>
      <c r="Z31" s="96">
        <v>40</v>
      </c>
      <c r="AA31" s="96">
        <v>36</v>
      </c>
      <c r="AB31" s="96">
        <v>41</v>
      </c>
      <c r="AC31" s="96">
        <v>44</v>
      </c>
      <c r="AD31" s="96">
        <v>37</v>
      </c>
      <c r="AE31" s="96">
        <v>26</v>
      </c>
      <c r="AF31" s="96">
        <v>7</v>
      </c>
      <c r="AG31" s="96">
        <v>6</v>
      </c>
    </row>
    <row r="32" spans="1:33" ht="12.75" customHeight="1">
      <c r="A32" s="46" t="s">
        <v>18</v>
      </c>
      <c r="B32" s="14">
        <v>31</v>
      </c>
      <c r="C32" s="77">
        <v>100</v>
      </c>
      <c r="D32" s="15">
        <f t="shared" si="8"/>
        <v>29.040000000000003</v>
      </c>
      <c r="E32" s="16">
        <f>D32*B12</f>
        <v>1161.6000000000001</v>
      </c>
      <c r="F32" s="16">
        <v>123</v>
      </c>
      <c r="G32" s="16">
        <f t="shared" si="0"/>
        <v>748.7747999999998</v>
      </c>
      <c r="H32" s="17">
        <f t="shared" si="1"/>
        <v>193.44</v>
      </c>
      <c r="I32" s="16">
        <f>AC37</f>
        <v>6</v>
      </c>
      <c r="J32" s="18">
        <f t="shared" si="2"/>
        <v>10.285714285714285</v>
      </c>
      <c r="K32" s="16">
        <f t="shared" si="3"/>
        <v>288.42400000000004</v>
      </c>
      <c r="L32" s="16">
        <f t="shared" si="4"/>
        <v>298.7097142857143</v>
      </c>
      <c r="M32" s="16">
        <f t="shared" si="9"/>
        <v>-862.8902857142858</v>
      </c>
      <c r="N32" s="16">
        <f t="shared" si="5"/>
        <v>0</v>
      </c>
      <c r="O32" s="16">
        <f t="shared" si="6"/>
        <v>862.8902857142858</v>
      </c>
      <c r="P32" s="16">
        <f t="shared" si="10"/>
        <v>655.8139534883721</v>
      </c>
      <c r="Q32" s="19">
        <f t="shared" si="7"/>
        <v>89.98920194365014</v>
      </c>
      <c r="S32" s="48">
        <f>IF(C32&lt;=T27,AC27,IF(C32&lt;=T28,(AC28-AC27)/(T28-T27)*(C32-T27)+AC27,IF(C32&lt;=T29,(AC29-AC28)/(T29-T28)*(C32-T28)+AC28,IF(C32&lt;=T30,(AC30-AC29)/(T30-T29)*(C32-T29)+AC29,IF(C32&lt;=T31,(AC31-AC30)/(T31-T30)*(C32-T30)+AC30,IF(C32&lt;=T32,(AC32-AC31)/(T32-T31)*(C32-T31)+AC31,AC32))))))</f>
        <v>29.040000000000003</v>
      </c>
      <c r="T32" s="36">
        <v>100</v>
      </c>
      <c r="V32" s="16">
        <f>V31*0.48</f>
        <v>3.84</v>
      </c>
      <c r="W32" s="16">
        <f>W31*0.53</f>
        <v>6.36</v>
      </c>
      <c r="X32" s="16">
        <f>X31*0.52</f>
        <v>11.440000000000001</v>
      </c>
      <c r="Y32" s="16">
        <f>Y31*0.57</f>
        <v>17.669999999999998</v>
      </c>
      <c r="Z32" s="16">
        <f>Z31*0.56</f>
        <v>22.400000000000002</v>
      </c>
      <c r="AA32" s="16">
        <f>AA31*0.6</f>
        <v>21.599999999999998</v>
      </c>
      <c r="AB32" s="16">
        <f>AB31*0.67</f>
        <v>27.470000000000002</v>
      </c>
      <c r="AC32" s="16">
        <f>AC31*0.66</f>
        <v>29.040000000000003</v>
      </c>
      <c r="AD32" s="16">
        <f>AD31*0.61</f>
        <v>22.57</v>
      </c>
      <c r="AE32" s="16">
        <f>AE31*0.48</f>
        <v>12.48</v>
      </c>
      <c r="AF32" s="16">
        <f>AF31*0.49</f>
        <v>3.4299999999999997</v>
      </c>
      <c r="AG32" s="16">
        <f>AG31*0.49</f>
        <v>2.94</v>
      </c>
    </row>
    <row r="33" spans="1:33" ht="12.75" customHeight="1">
      <c r="A33" s="46" t="s">
        <v>19</v>
      </c>
      <c r="B33" s="14">
        <v>30</v>
      </c>
      <c r="C33" s="77">
        <v>90</v>
      </c>
      <c r="D33" s="15">
        <f t="shared" si="8"/>
        <v>29.785</v>
      </c>
      <c r="E33" s="16">
        <f>D33*B12</f>
        <v>1191.4</v>
      </c>
      <c r="F33" s="16">
        <v>106</v>
      </c>
      <c r="G33" s="16">
        <f t="shared" si="0"/>
        <v>645.2855999999999</v>
      </c>
      <c r="H33" s="17">
        <f t="shared" si="1"/>
        <v>187.2</v>
      </c>
      <c r="I33" s="16">
        <f>AD37</f>
        <v>35</v>
      </c>
      <c r="J33" s="18">
        <f t="shared" si="2"/>
        <v>60</v>
      </c>
      <c r="K33" s="16">
        <f t="shared" si="3"/>
        <v>279.12000000000006</v>
      </c>
      <c r="L33" s="16">
        <f t="shared" si="4"/>
        <v>339.12000000000006</v>
      </c>
      <c r="M33" s="16">
        <f t="shared" si="9"/>
        <v>-852.28</v>
      </c>
      <c r="N33" s="16">
        <f t="shared" si="5"/>
        <v>0</v>
      </c>
      <c r="O33" s="16">
        <f t="shared" si="6"/>
        <v>852.28</v>
      </c>
      <c r="P33" s="16">
        <f t="shared" si="10"/>
        <v>655.8139534883721</v>
      </c>
      <c r="Q33" s="19">
        <f t="shared" si="7"/>
        <v>89.98920194365014</v>
      </c>
      <c r="S33" s="48">
        <f>IF(C33&lt;=T27,AD27,IF(C33&lt;=T28,(AD28-AD27)/(T28-T27)*(C33-T27)+AD27,IF(C33&lt;=T29,(AD29-AD28)/(T29-T28)*(C33-T28)+AD28,IF(C33&lt;=T30,(AD30-AD29)/(T30-T29)*(C33-T29)+AD29,IF(C33&lt;=T31,(AD31-AD30)/(T31-T30)*(C33-T30)+AD30,IF(C33&lt;=T32,(AD32-AD31)/(T32-T31)*(C33-T31)+AD31,AD32))))))</f>
        <v>29.785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:19" ht="12.75" customHeight="1">
      <c r="A34" s="46" t="s">
        <v>20</v>
      </c>
      <c r="B34" s="14">
        <v>31</v>
      </c>
      <c r="C34" s="77">
        <v>80</v>
      </c>
      <c r="D34" s="15">
        <f t="shared" si="8"/>
        <v>26</v>
      </c>
      <c r="E34" s="16">
        <f>D34*B12</f>
        <v>1040</v>
      </c>
      <c r="F34" s="16">
        <v>72.9</v>
      </c>
      <c r="G34" s="16">
        <f t="shared" si="0"/>
        <v>443.78603999999996</v>
      </c>
      <c r="H34" s="17">
        <f t="shared" si="1"/>
        <v>193.44</v>
      </c>
      <c r="I34" s="16">
        <f>AE37</f>
        <v>207</v>
      </c>
      <c r="J34" s="18">
        <f t="shared" si="2"/>
        <v>354.85714285714283</v>
      </c>
      <c r="K34" s="16">
        <f t="shared" si="3"/>
        <v>288.42400000000004</v>
      </c>
      <c r="L34" s="16">
        <f t="shared" si="4"/>
        <v>643.2811428571429</v>
      </c>
      <c r="M34" s="16">
        <f>L34-E34</f>
        <v>-396.71885714285713</v>
      </c>
      <c r="N34" s="16">
        <f t="shared" si="5"/>
        <v>0</v>
      </c>
      <c r="O34" s="16">
        <f t="shared" si="6"/>
        <v>396.71885714285713</v>
      </c>
      <c r="P34" s="16">
        <f t="shared" si="10"/>
        <v>655.8139534883721</v>
      </c>
      <c r="Q34" s="19">
        <f t="shared" si="7"/>
        <v>89.98920194365014</v>
      </c>
      <c r="S34" s="48">
        <f>IF(C34&lt;=T27,AE27,IF(C34&lt;=T28,(AE28-AE27)/(T28-T27)*(C34-T27)+AE27,IF(C34&lt;=T29,(AE29-AE28)/(T29-T28)*(C34-T28)+AE28,IF(C34&lt;=T30,(AE30-AE29)/(T30-T29)*(C34-T29)+AE29,IF(C34&lt;=T31,(AE31-AE30)/(T31-T30)*(C34-T30)+AE30,IF(C34&lt;=T32,(AE32-AE31)/(T32-T31)*(C34-T31)+AE31,AE32))))))</f>
        <v>26</v>
      </c>
    </row>
    <row r="35" spans="1:33" ht="12.75" customHeight="1">
      <c r="A35" s="46" t="s">
        <v>21</v>
      </c>
      <c r="B35" s="14">
        <v>30</v>
      </c>
      <c r="C35" s="77">
        <v>50</v>
      </c>
      <c r="D35" s="15">
        <f t="shared" si="8"/>
        <v>15</v>
      </c>
      <c r="E35" s="16">
        <f>D35*B12</f>
        <v>600</v>
      </c>
      <c r="F35" s="16">
        <v>50.5</v>
      </c>
      <c r="G35" s="16">
        <f t="shared" si="0"/>
        <v>307.42379999999997</v>
      </c>
      <c r="H35" s="17">
        <f t="shared" si="1"/>
        <v>187.2</v>
      </c>
      <c r="I35" s="16">
        <f>AF37</f>
        <v>433</v>
      </c>
      <c r="J35" s="18">
        <f t="shared" si="2"/>
        <v>742.2857142857142</v>
      </c>
      <c r="K35" s="16">
        <f t="shared" si="3"/>
        <v>279.12000000000006</v>
      </c>
      <c r="L35" s="16">
        <f t="shared" si="4"/>
        <v>1021.4057142857143</v>
      </c>
      <c r="M35" s="16">
        <f t="shared" si="9"/>
        <v>421.40571428571434</v>
      </c>
      <c r="N35" s="16">
        <f t="shared" si="5"/>
        <v>421.40571428571434</v>
      </c>
      <c r="O35" s="16">
        <f t="shared" si="6"/>
        <v>0</v>
      </c>
      <c r="P35" s="16">
        <f t="shared" si="10"/>
        <v>234.4082392026578</v>
      </c>
      <c r="Q35" s="19">
        <f t="shared" si="7"/>
        <v>51.44200062225882</v>
      </c>
      <c r="S35" s="48">
        <f>IF(C35&lt;=T27,AF27,IF(C35&lt;=T28,(AF28-AF27)/(T28-T27)*(C35-T27)+AF27,IF(C35&lt;=T29,(AF29-AF28)/(T29-T28)*(C35-T28)+AF28,IF(C35&lt;=T30,(AF30-AF29)/(T30-T29)*(C35-T29)+AF29,IF(C35&lt;=T31,(AF31-AF30)/(T31-T30)*(C35-T30)+AF30,IF(C35&lt;=T32,(AF32-AF31)/(T32-T31)*(C35-T31)+AF31,AF32))))))</f>
        <v>15</v>
      </c>
      <c r="V35" s="36" t="s">
        <v>53</v>
      </c>
      <c r="W35" s="36" t="s">
        <v>54</v>
      </c>
      <c r="X35" s="36" t="s">
        <v>13</v>
      </c>
      <c r="Y35" s="36" t="s">
        <v>14</v>
      </c>
      <c r="Z35" s="36" t="s">
        <v>15</v>
      </c>
      <c r="AA35" s="36" t="s">
        <v>16</v>
      </c>
      <c r="AB35" s="36" t="s">
        <v>17</v>
      </c>
      <c r="AC35" s="36" t="s">
        <v>55</v>
      </c>
      <c r="AD35" s="36" t="s">
        <v>56</v>
      </c>
      <c r="AE35" s="36" t="s">
        <v>57</v>
      </c>
      <c r="AF35" s="36" t="s">
        <v>58</v>
      </c>
      <c r="AG35" s="36" t="s">
        <v>59</v>
      </c>
    </row>
    <row r="36" spans="1:24" ht="12.75" customHeight="1" thickBot="1">
      <c r="A36" s="46" t="s">
        <v>22</v>
      </c>
      <c r="B36" s="21">
        <v>31</v>
      </c>
      <c r="C36" s="78">
        <v>30</v>
      </c>
      <c r="D36" s="15">
        <f t="shared" si="8"/>
        <v>20</v>
      </c>
      <c r="E36" s="22">
        <f>D36*B12</f>
        <v>800</v>
      </c>
      <c r="F36" s="22">
        <v>40.8</v>
      </c>
      <c r="G36" s="22">
        <f t="shared" si="0"/>
        <v>248.37407999999996</v>
      </c>
      <c r="H36" s="23">
        <f t="shared" si="1"/>
        <v>193.44</v>
      </c>
      <c r="I36" s="16">
        <f>AG37</f>
        <v>601</v>
      </c>
      <c r="J36" s="24">
        <f t="shared" si="2"/>
        <v>1030.2857142857142</v>
      </c>
      <c r="K36" s="22">
        <f t="shared" si="3"/>
        <v>288.42400000000004</v>
      </c>
      <c r="L36" s="22">
        <f t="shared" si="4"/>
        <v>1318.7097142857142</v>
      </c>
      <c r="M36" s="22">
        <f t="shared" si="9"/>
        <v>518.7097142857142</v>
      </c>
      <c r="N36" s="22">
        <f t="shared" si="5"/>
        <v>518.7097142857142</v>
      </c>
      <c r="O36" s="22">
        <f t="shared" si="6"/>
        <v>0</v>
      </c>
      <c r="P36" s="22">
        <f t="shared" si="10"/>
        <v>0</v>
      </c>
      <c r="Q36" s="25">
        <f t="shared" si="7"/>
        <v>30</v>
      </c>
      <c r="S36" s="48">
        <f>IF(C36&lt;=T27,AG27,IF(C36&lt;=T28,(AG28-AG27)/(T28-T27)*(C36-T27)+AG27,IF(C36&lt;=T29,(AG29-AG28)/(T29-T28)*(C36-T28)+AG28,IF(C36&lt;=T30,(AG30-AG29)/(T30-T29)*(C36-T29)+AG29,IF(C36&lt;=T31,(AG31-AG30)/(T31-T30)*(C36-T30)+AG30,IF(C36&lt;=T32,(AG32-AG31)/(T32-T31)*(C36-T31)+AG31,AG32))))))</f>
        <v>20</v>
      </c>
      <c r="T36" s="36" t="s">
        <v>81</v>
      </c>
      <c r="U36" s="36"/>
      <c r="V36" s="36"/>
      <c r="W36" s="47"/>
      <c r="X36" s="36"/>
    </row>
    <row r="37" spans="1:33" ht="12.75" customHeight="1" thickBot="1">
      <c r="A37" s="46" t="s">
        <v>9</v>
      </c>
      <c r="B37" s="26"/>
      <c r="C37" s="27"/>
      <c r="D37" s="28"/>
      <c r="E37" s="29">
        <f>SUM(E25:E36)</f>
        <v>12117.199999999999</v>
      </c>
      <c r="F37" s="28"/>
      <c r="G37" s="28"/>
      <c r="H37" s="28"/>
      <c r="I37" s="30">
        <f>SUM(I25:I36)</f>
        <v>3260</v>
      </c>
      <c r="J37" s="29">
        <f>SUM(J25:J36)</f>
        <v>5588.5714285714275</v>
      </c>
      <c r="K37" s="29">
        <f>SUM(K25:K36)</f>
        <v>3395.96</v>
      </c>
      <c r="L37" s="29">
        <f>SUM(L25:L36)</f>
        <v>8984.531428571428</v>
      </c>
      <c r="M37" s="29">
        <f>IF(O37&gt;B11,N37-B11,SUM(M25:M36))</f>
        <v>706.3803322259134</v>
      </c>
      <c r="N37" s="29">
        <f>SUM(N25:N36)</f>
        <v>1362.1942857142856</v>
      </c>
      <c r="O37" s="29">
        <f>SUM(O25:O36)</f>
        <v>4494.862857142856</v>
      </c>
      <c r="P37" s="28"/>
      <c r="Q37" s="31"/>
      <c r="T37" s="97" t="s">
        <v>87</v>
      </c>
      <c r="U37" s="49"/>
      <c r="V37" s="98">
        <v>615</v>
      </c>
      <c r="W37" s="98">
        <v>501</v>
      </c>
      <c r="X37" s="98">
        <v>467</v>
      </c>
      <c r="Y37" s="98">
        <v>255</v>
      </c>
      <c r="Z37" s="98">
        <v>110</v>
      </c>
      <c r="AA37" s="98">
        <v>23</v>
      </c>
      <c r="AB37" s="98">
        <v>7</v>
      </c>
      <c r="AC37" s="98">
        <v>6</v>
      </c>
      <c r="AD37" s="98">
        <v>35</v>
      </c>
      <c r="AE37" s="98">
        <v>207</v>
      </c>
      <c r="AF37" s="98">
        <v>433</v>
      </c>
      <c r="AG37" s="98">
        <v>601</v>
      </c>
    </row>
    <row r="38" ht="12.75" customHeight="1">
      <c r="T38" s="72" t="s">
        <v>82</v>
      </c>
    </row>
    <row r="39" ht="12.75" customHeight="1" thickBot="1"/>
    <row r="40" spans="2:3" ht="12.75" customHeight="1" thickBot="1">
      <c r="B40" s="68"/>
      <c r="C40" s="35" t="s">
        <v>75</v>
      </c>
    </row>
    <row r="41" spans="2:13" ht="12.75" customHeight="1" thickBot="1">
      <c r="B41" s="32"/>
      <c r="C41" s="35" t="s">
        <v>70</v>
      </c>
      <c r="D41" s="42"/>
      <c r="M41" s="50"/>
    </row>
    <row r="42" spans="2:15" ht="12.75" customHeight="1" thickBot="1">
      <c r="B42" s="33"/>
      <c r="C42" s="35" t="s">
        <v>69</v>
      </c>
      <c r="D42" s="51"/>
      <c r="E42" s="42"/>
      <c r="F42" s="42"/>
      <c r="G42" s="42"/>
      <c r="H42" s="42"/>
      <c r="I42" s="42"/>
      <c r="J42" s="48"/>
      <c r="K42" s="48"/>
      <c r="L42" s="48"/>
      <c r="M42" s="48"/>
      <c r="N42" s="48"/>
      <c r="O42" s="48"/>
    </row>
    <row r="43" spans="1:15" ht="12.75" customHeight="1">
      <c r="A43" s="45"/>
      <c r="B43" s="38"/>
      <c r="D43" s="51"/>
      <c r="E43" s="51"/>
      <c r="F43" s="42"/>
      <c r="G43" s="42"/>
      <c r="H43" s="42"/>
      <c r="I43" s="42"/>
      <c r="J43" s="48"/>
      <c r="K43" s="48"/>
      <c r="L43" s="48"/>
      <c r="M43" s="48"/>
      <c r="N43" s="48"/>
      <c r="O43" s="48"/>
    </row>
    <row r="44" spans="1:15" ht="12.75" customHeight="1">
      <c r="A44" s="52" t="s">
        <v>78</v>
      </c>
      <c r="B44" s="38"/>
      <c r="C44" s="38"/>
      <c r="D44" s="38"/>
      <c r="E44" s="38"/>
      <c r="F44" s="42"/>
      <c r="G44" s="42"/>
      <c r="H44" s="42"/>
      <c r="I44" s="42"/>
      <c r="K44" s="48"/>
      <c r="L44" s="48"/>
      <c r="M44" s="48"/>
      <c r="N44" s="48"/>
      <c r="O44" s="48"/>
    </row>
    <row r="45" spans="2:18" ht="12.75">
      <c r="B45" s="38"/>
      <c r="C45" s="38"/>
      <c r="D45" s="53"/>
      <c r="E45" s="53"/>
      <c r="F45" s="42"/>
      <c r="G45" s="42"/>
      <c r="H45" s="42"/>
      <c r="I45" s="42"/>
      <c r="J45" s="48"/>
      <c r="K45" s="48"/>
      <c r="L45" s="48"/>
      <c r="M45" s="48"/>
      <c r="N45" s="48"/>
      <c r="O45" s="48"/>
      <c r="Q45" s="48"/>
      <c r="R45" s="48"/>
    </row>
    <row r="46" spans="1:18" ht="12.75">
      <c r="A46" s="72" t="s">
        <v>176</v>
      </c>
      <c r="B46" s="38"/>
      <c r="C46" s="41"/>
      <c r="D46" s="54"/>
      <c r="E46" s="54"/>
      <c r="F46" s="42"/>
      <c r="G46" s="42"/>
      <c r="H46" s="42"/>
      <c r="I46" s="42"/>
      <c r="J46" s="48"/>
      <c r="K46" s="48"/>
      <c r="L46" s="48"/>
      <c r="M46" s="48"/>
      <c r="N46" s="48"/>
      <c r="O46" s="48"/>
      <c r="Q46" s="48"/>
      <c r="R46" s="48"/>
    </row>
    <row r="47" spans="1:18" ht="12.75">
      <c r="A47" s="69" t="s">
        <v>175</v>
      </c>
      <c r="B47" s="38"/>
      <c r="C47" s="41"/>
      <c r="D47" s="54"/>
      <c r="E47" s="54"/>
      <c r="F47" s="42"/>
      <c r="G47" s="42"/>
      <c r="H47" s="42"/>
      <c r="I47" s="42"/>
      <c r="J47" s="48"/>
      <c r="K47" s="48"/>
      <c r="L47" s="48"/>
      <c r="M47" s="48"/>
      <c r="N47" s="48"/>
      <c r="O47" s="48"/>
      <c r="Q47" s="48"/>
      <c r="R47" s="48"/>
    </row>
    <row r="48" spans="1:18" ht="12.75">
      <c r="A48" s="69" t="s">
        <v>79</v>
      </c>
      <c r="B48" s="38"/>
      <c r="C48" s="41"/>
      <c r="D48" s="54"/>
      <c r="E48" s="54"/>
      <c r="F48" s="42"/>
      <c r="G48" s="42"/>
      <c r="H48" s="42"/>
      <c r="I48" s="42"/>
      <c r="J48" s="48"/>
      <c r="K48" s="48"/>
      <c r="L48" s="48"/>
      <c r="M48" s="48"/>
      <c r="N48" s="48"/>
      <c r="O48" s="48"/>
      <c r="Q48" s="48"/>
      <c r="R48" s="48"/>
    </row>
    <row r="49" spans="1:18" ht="12.75">
      <c r="A49" s="69" t="s">
        <v>80</v>
      </c>
      <c r="B49" s="38"/>
      <c r="C49" s="38"/>
      <c r="D49" s="38"/>
      <c r="E49" s="38"/>
      <c r="F49" s="38"/>
      <c r="G49" s="38"/>
      <c r="H49" s="38"/>
      <c r="I49" s="38"/>
      <c r="M49" s="48"/>
      <c r="N49" s="48"/>
      <c r="O49" s="48"/>
      <c r="Q49" s="48"/>
      <c r="R49" s="48"/>
    </row>
    <row r="50" spans="2:9" ht="12.75">
      <c r="B50" s="38"/>
      <c r="C50" s="38"/>
      <c r="D50" s="38"/>
      <c r="E50" s="38"/>
      <c r="F50" s="38"/>
      <c r="G50" s="38"/>
      <c r="H50" s="38"/>
      <c r="I50" s="38"/>
    </row>
  </sheetData>
  <sheetProtection sheet="1" objects="1" scenarios="1" selectLockedCells="1"/>
  <mergeCells count="5">
    <mergeCell ref="B8:D8"/>
    <mergeCell ref="Y15:Z15"/>
    <mergeCell ref="Y22:Z22"/>
    <mergeCell ref="Y23:Z23"/>
    <mergeCell ref="B6:C6"/>
  </mergeCells>
  <conditionalFormatting sqref="D10">
    <cfRule type="cellIs" priority="1" dxfId="2" operator="equal" stopIfTrue="1">
      <formula>"Mindestspeichervolumen erfüllt"</formula>
    </cfRule>
    <cfRule type="cellIs" priority="2" dxfId="0" operator="equal" stopIfTrue="1">
      <formula>"Speicher zu klein (mind. 175 l / m2)"</formula>
    </cfRule>
  </conditionalFormatting>
  <conditionalFormatting sqref="M13">
    <cfRule type="cellIs" priority="3" dxfId="0" operator="equal" stopIfTrue="1">
      <formula>"Fehler"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2" r:id="rId2"/>
  <ignoredErrors>
    <ignoredError sqref="B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5:B35"/>
  <sheetViews>
    <sheetView zoomScalePageLayoutView="0" workbookViewId="0" topLeftCell="A1">
      <selection activeCell="I44" sqref="I44"/>
    </sheetView>
  </sheetViews>
  <sheetFormatPr defaultColWidth="11.421875" defaultRowHeight="12.75"/>
  <cols>
    <col min="1" max="16384" width="11.421875" style="1" customWidth="1"/>
  </cols>
  <sheetData>
    <row r="35" ht="12.75">
      <c r="B35" s="1" t="s">
        <v>83</v>
      </c>
    </row>
  </sheetData>
  <sheetProtection password="CC31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90</v>
      </c>
      <c r="C1" s="81"/>
      <c r="D1" s="82" t="s">
        <v>91</v>
      </c>
      <c r="E1" s="82" t="s">
        <v>92</v>
      </c>
      <c r="F1" s="82" t="s">
        <v>93</v>
      </c>
      <c r="G1" s="82" t="s">
        <v>94</v>
      </c>
      <c r="H1" s="82" t="s">
        <v>15</v>
      </c>
      <c r="I1" s="82" t="s">
        <v>95</v>
      </c>
      <c r="J1" s="82" t="s">
        <v>96</v>
      </c>
      <c r="K1" s="82" t="s">
        <v>97</v>
      </c>
      <c r="L1" s="82" t="s">
        <v>98</v>
      </c>
      <c r="M1" s="82" t="s">
        <v>99</v>
      </c>
      <c r="N1" s="82" t="s">
        <v>100</v>
      </c>
      <c r="O1" s="82" t="s">
        <v>101</v>
      </c>
      <c r="P1" s="79"/>
      <c r="Q1" s="83" t="s">
        <v>102</v>
      </c>
    </row>
    <row r="2" spans="2:17" ht="12.75">
      <c r="B2" s="85"/>
      <c r="C2" s="86"/>
      <c r="Q2" s="88"/>
    </row>
    <row r="3" spans="2:17" ht="12.75">
      <c r="B3" s="86" t="s">
        <v>134</v>
      </c>
      <c r="C3" s="86"/>
      <c r="D3" s="89">
        <v>528</v>
      </c>
      <c r="E3" s="89">
        <v>469</v>
      </c>
      <c r="F3" s="89">
        <v>418</v>
      </c>
      <c r="G3" s="89">
        <v>303</v>
      </c>
      <c r="H3" s="89">
        <v>124</v>
      </c>
      <c r="I3" s="89">
        <v>39</v>
      </c>
      <c r="J3" s="89">
        <v>6</v>
      </c>
      <c r="K3" s="89">
        <v>5</v>
      </c>
      <c r="L3" s="89">
        <v>63</v>
      </c>
      <c r="M3" s="89">
        <v>232</v>
      </c>
      <c r="N3" s="89">
        <v>394</v>
      </c>
      <c r="O3" s="90">
        <v>494</v>
      </c>
      <c r="P3" s="91"/>
      <c r="Q3" s="92">
        <v>3074</v>
      </c>
    </row>
    <row r="4" spans="2:17" ht="12.75">
      <c r="B4" s="86"/>
      <c r="C4" s="86"/>
      <c r="Q4" s="88"/>
    </row>
    <row r="5" spans="2:17" ht="12.75">
      <c r="B5" s="86" t="s">
        <v>135</v>
      </c>
      <c r="C5" s="86"/>
      <c r="D5" s="89">
        <v>643</v>
      </c>
      <c r="E5" s="89">
        <v>554</v>
      </c>
      <c r="F5" s="89">
        <v>482</v>
      </c>
      <c r="G5" s="89">
        <v>343</v>
      </c>
      <c r="H5" s="89">
        <v>133</v>
      </c>
      <c r="I5" s="89">
        <v>45</v>
      </c>
      <c r="J5" s="89">
        <v>10</v>
      </c>
      <c r="K5" s="89">
        <v>13</v>
      </c>
      <c r="L5" s="89">
        <v>108</v>
      </c>
      <c r="M5" s="89">
        <v>318</v>
      </c>
      <c r="N5" s="89">
        <v>498</v>
      </c>
      <c r="O5" s="90">
        <v>604</v>
      </c>
      <c r="P5" s="91"/>
      <c r="Q5" s="92">
        <v>3750</v>
      </c>
    </row>
    <row r="6" spans="2:17" ht="12.75">
      <c r="B6" s="86"/>
      <c r="C6" s="86"/>
      <c r="Q6" s="88"/>
    </row>
    <row r="7" spans="2:17" ht="12.75">
      <c r="B7" s="86" t="s">
        <v>136</v>
      </c>
      <c r="C7" s="86"/>
      <c r="D7" s="89">
        <v>629</v>
      </c>
      <c r="E7" s="89">
        <v>541</v>
      </c>
      <c r="F7" s="89">
        <v>474</v>
      </c>
      <c r="G7" s="89">
        <v>320</v>
      </c>
      <c r="H7" s="89">
        <v>115</v>
      </c>
      <c r="I7" s="89">
        <v>28</v>
      </c>
      <c r="J7" s="89">
        <v>2</v>
      </c>
      <c r="K7" s="89">
        <v>8</v>
      </c>
      <c r="L7" s="89">
        <v>99</v>
      </c>
      <c r="M7" s="89">
        <v>311</v>
      </c>
      <c r="N7" s="89">
        <v>482</v>
      </c>
      <c r="O7" s="90">
        <v>585</v>
      </c>
      <c r="P7" s="91"/>
      <c r="Q7" s="92">
        <v>3593</v>
      </c>
    </row>
    <row r="8" spans="2:17" ht="12.75">
      <c r="B8" s="86"/>
      <c r="C8" s="86"/>
      <c r="Q8" s="88"/>
    </row>
    <row r="9" spans="2:17" ht="12.75">
      <c r="B9" s="86" t="s">
        <v>137</v>
      </c>
      <c r="C9" s="86"/>
      <c r="D9" s="89">
        <v>604</v>
      </c>
      <c r="E9" s="89">
        <v>523</v>
      </c>
      <c r="F9" s="89">
        <v>468</v>
      </c>
      <c r="G9" s="89">
        <v>300</v>
      </c>
      <c r="H9" s="89">
        <v>91</v>
      </c>
      <c r="I9" s="89">
        <v>14</v>
      </c>
      <c r="J9" s="89">
        <v>0</v>
      </c>
      <c r="K9" s="89">
        <v>2</v>
      </c>
      <c r="L9" s="89">
        <v>57</v>
      </c>
      <c r="M9" s="89">
        <v>265</v>
      </c>
      <c r="N9" s="89">
        <v>453</v>
      </c>
      <c r="O9" s="90">
        <v>562</v>
      </c>
      <c r="P9" s="91"/>
      <c r="Q9" s="92">
        <v>3340</v>
      </c>
    </row>
    <row r="10" spans="2:17" ht="12.75">
      <c r="B10" s="86"/>
      <c r="C10" s="86"/>
      <c r="Q10" s="88"/>
    </row>
    <row r="11" spans="2:17" ht="12.75">
      <c r="B11" s="86" t="s">
        <v>138</v>
      </c>
      <c r="C11" s="86"/>
      <c r="D11" s="89">
        <v>574</v>
      </c>
      <c r="E11" s="89">
        <v>508</v>
      </c>
      <c r="F11" s="89">
        <v>470</v>
      </c>
      <c r="G11" s="89">
        <v>331</v>
      </c>
      <c r="H11" s="89">
        <v>132</v>
      </c>
      <c r="I11" s="89">
        <v>35</v>
      </c>
      <c r="J11" s="89">
        <v>4</v>
      </c>
      <c r="K11" s="89">
        <v>4</v>
      </c>
      <c r="L11" s="89">
        <v>77</v>
      </c>
      <c r="M11" s="89">
        <v>278</v>
      </c>
      <c r="N11" s="89">
        <v>436</v>
      </c>
      <c r="O11" s="90">
        <v>535</v>
      </c>
      <c r="P11" s="91"/>
      <c r="Q11" s="92">
        <v>3384</v>
      </c>
    </row>
    <row r="12" spans="2:17" ht="12.75">
      <c r="B12" s="86"/>
      <c r="C12" s="86"/>
      <c r="Q12" s="88"/>
    </row>
    <row r="13" spans="2:17" ht="12.75">
      <c r="B13" s="86" t="s">
        <v>139</v>
      </c>
      <c r="C13" s="86"/>
      <c r="D13" s="89">
        <v>619</v>
      </c>
      <c r="E13" s="89">
        <v>536</v>
      </c>
      <c r="F13" s="89">
        <v>475</v>
      </c>
      <c r="G13" s="89">
        <v>322</v>
      </c>
      <c r="H13" s="89">
        <v>117</v>
      </c>
      <c r="I13" s="89">
        <v>33</v>
      </c>
      <c r="J13" s="89">
        <v>4</v>
      </c>
      <c r="K13" s="89">
        <v>6</v>
      </c>
      <c r="L13" s="89">
        <v>84</v>
      </c>
      <c r="M13" s="89">
        <v>275</v>
      </c>
      <c r="N13" s="89">
        <v>466</v>
      </c>
      <c r="O13" s="90">
        <v>574</v>
      </c>
      <c r="P13" s="91"/>
      <c r="Q13" s="92">
        <v>3510</v>
      </c>
    </row>
    <row r="14" spans="2:17" ht="12.75">
      <c r="B14" s="86"/>
      <c r="C14" s="86"/>
      <c r="Q14" s="88"/>
    </row>
    <row r="15" spans="2:17" ht="12.75">
      <c r="B15" s="86" t="s">
        <v>140</v>
      </c>
      <c r="C15" s="86"/>
      <c r="D15" s="89">
        <v>526</v>
      </c>
      <c r="E15" s="89">
        <v>463</v>
      </c>
      <c r="F15" s="89">
        <v>408</v>
      </c>
      <c r="G15" s="89">
        <v>279</v>
      </c>
      <c r="H15" s="89">
        <v>99</v>
      </c>
      <c r="I15" s="89">
        <v>18</v>
      </c>
      <c r="J15" s="89">
        <v>0</v>
      </c>
      <c r="K15" s="89">
        <v>1</v>
      </c>
      <c r="L15" s="89">
        <v>46</v>
      </c>
      <c r="M15" s="89">
        <v>211</v>
      </c>
      <c r="N15" s="89">
        <v>387</v>
      </c>
      <c r="O15" s="90">
        <v>490</v>
      </c>
      <c r="P15" s="91"/>
      <c r="Q15" s="92">
        <v>2928</v>
      </c>
    </row>
    <row r="16" spans="2:17" ht="12.75">
      <c r="B16" s="86"/>
      <c r="C16" s="86"/>
      <c r="Q16" s="88"/>
    </row>
    <row r="17" spans="2:17" ht="12.75">
      <c r="B17" s="86" t="s">
        <v>141</v>
      </c>
      <c r="C17" s="86"/>
      <c r="D17" s="89">
        <v>520</v>
      </c>
      <c r="E17" s="89">
        <v>458</v>
      </c>
      <c r="F17" s="89">
        <v>448</v>
      </c>
      <c r="G17" s="89">
        <v>310</v>
      </c>
      <c r="H17" s="89">
        <v>128</v>
      </c>
      <c r="I17" s="89">
        <v>25</v>
      </c>
      <c r="J17" s="89">
        <v>0</v>
      </c>
      <c r="K17" s="89">
        <v>0</v>
      </c>
      <c r="L17" s="89">
        <v>38</v>
      </c>
      <c r="M17" s="89">
        <v>257</v>
      </c>
      <c r="N17" s="89">
        <v>418</v>
      </c>
      <c r="O17" s="90">
        <v>525</v>
      </c>
      <c r="P17" s="91"/>
      <c r="Q17" s="92">
        <v>3127</v>
      </c>
    </row>
    <row r="18" spans="2:17" ht="12.75">
      <c r="B18" s="86"/>
      <c r="C18" s="86"/>
      <c r="Q18" s="88"/>
    </row>
    <row r="19" spans="2:17" ht="12.75">
      <c r="B19" s="86" t="s">
        <v>142</v>
      </c>
      <c r="C19" s="86"/>
      <c r="D19" s="89">
        <v>636</v>
      </c>
      <c r="E19" s="89">
        <v>560</v>
      </c>
      <c r="F19" s="89">
        <v>502</v>
      </c>
      <c r="G19" s="89">
        <v>358</v>
      </c>
      <c r="H19" s="89">
        <v>157</v>
      </c>
      <c r="I19" s="89">
        <v>57</v>
      </c>
      <c r="J19" s="89">
        <v>12</v>
      </c>
      <c r="K19" s="89">
        <v>13</v>
      </c>
      <c r="L19" s="89">
        <v>107</v>
      </c>
      <c r="M19" s="89">
        <v>312</v>
      </c>
      <c r="N19" s="89">
        <v>486</v>
      </c>
      <c r="O19" s="90">
        <v>596</v>
      </c>
      <c r="P19" s="91"/>
      <c r="Q19" s="92">
        <v>3796</v>
      </c>
    </row>
    <row r="20" spans="2:17" ht="12.75">
      <c r="B20" s="86"/>
      <c r="C20" s="86"/>
      <c r="Q20" s="88"/>
    </row>
    <row r="21" spans="2:17" ht="12.75">
      <c r="B21" s="86" t="s">
        <v>143</v>
      </c>
      <c r="C21" s="86"/>
      <c r="D21" s="89">
        <v>756</v>
      </c>
      <c r="E21" s="89">
        <v>685</v>
      </c>
      <c r="F21" s="89">
        <v>679</v>
      </c>
      <c r="G21" s="89">
        <v>556</v>
      </c>
      <c r="H21" s="89">
        <v>385</v>
      </c>
      <c r="I21" s="89">
        <v>267</v>
      </c>
      <c r="J21" s="89">
        <v>195</v>
      </c>
      <c r="K21" s="89">
        <v>171</v>
      </c>
      <c r="L21" s="89">
        <v>329</v>
      </c>
      <c r="M21" s="89">
        <v>486</v>
      </c>
      <c r="N21" s="89">
        <v>624</v>
      </c>
      <c r="O21" s="90">
        <v>720</v>
      </c>
      <c r="P21" s="91"/>
      <c r="Q21" s="92">
        <v>5852</v>
      </c>
    </row>
    <row r="22" spans="2:17" ht="12.75">
      <c r="B22" s="86"/>
      <c r="C22" s="86"/>
      <c r="Q22" s="88"/>
    </row>
    <row r="23" spans="2:17" ht="12.75">
      <c r="B23" s="86" t="s">
        <v>144</v>
      </c>
      <c r="C23" s="86"/>
      <c r="D23" s="89">
        <v>575</v>
      </c>
      <c r="E23" s="89">
        <v>496</v>
      </c>
      <c r="F23" s="89">
        <v>418</v>
      </c>
      <c r="G23" s="89">
        <v>266</v>
      </c>
      <c r="H23" s="89">
        <v>85</v>
      </c>
      <c r="I23" s="89">
        <v>13</v>
      </c>
      <c r="J23" s="89">
        <v>0</v>
      </c>
      <c r="K23" s="89">
        <v>1</v>
      </c>
      <c r="L23" s="89">
        <v>48</v>
      </c>
      <c r="M23" s="89">
        <v>257</v>
      </c>
      <c r="N23" s="89">
        <v>440</v>
      </c>
      <c r="O23" s="90">
        <v>539</v>
      </c>
      <c r="P23" s="91"/>
      <c r="Q23" s="92">
        <v>3137</v>
      </c>
    </row>
    <row r="24" spans="2:17" ht="12.75">
      <c r="B24" s="86"/>
      <c r="C24" s="86"/>
      <c r="Q24" s="88"/>
    </row>
    <row r="25" spans="2:17" ht="12.75">
      <c r="B25" s="86" t="s">
        <v>145</v>
      </c>
      <c r="C25" s="86"/>
      <c r="D25" s="89">
        <v>585</v>
      </c>
      <c r="E25" s="89">
        <v>486</v>
      </c>
      <c r="F25" s="89">
        <v>457</v>
      </c>
      <c r="G25" s="89">
        <v>298</v>
      </c>
      <c r="H25" s="89">
        <v>98</v>
      </c>
      <c r="I25" s="89">
        <v>18</v>
      </c>
      <c r="J25" s="89">
        <v>0</v>
      </c>
      <c r="K25" s="89">
        <v>0</v>
      </c>
      <c r="L25" s="89">
        <v>102</v>
      </c>
      <c r="M25" s="89">
        <v>286</v>
      </c>
      <c r="N25" s="89">
        <v>424</v>
      </c>
      <c r="O25" s="90">
        <v>585</v>
      </c>
      <c r="P25" s="91"/>
      <c r="Q25" s="92">
        <v>3339</v>
      </c>
    </row>
    <row r="26" spans="2:17" ht="12.75">
      <c r="B26" s="86"/>
      <c r="C26" s="86"/>
      <c r="Q26" s="88"/>
    </row>
    <row r="27" spans="2:17" ht="12.75">
      <c r="B27" s="86" t="s">
        <v>146</v>
      </c>
      <c r="C27" s="86"/>
      <c r="D27" s="89">
        <v>644</v>
      </c>
      <c r="E27" s="89">
        <v>557</v>
      </c>
      <c r="F27" s="89">
        <v>498</v>
      </c>
      <c r="G27" s="89">
        <v>341</v>
      </c>
      <c r="H27" s="89">
        <v>131</v>
      </c>
      <c r="I27" s="89">
        <v>41</v>
      </c>
      <c r="J27" s="89">
        <v>6</v>
      </c>
      <c r="K27" s="89">
        <v>10</v>
      </c>
      <c r="L27" s="89">
        <v>107</v>
      </c>
      <c r="M27" s="89">
        <v>299</v>
      </c>
      <c r="N27" s="89">
        <v>485</v>
      </c>
      <c r="O27" s="90">
        <v>600</v>
      </c>
      <c r="P27" s="91"/>
      <c r="Q27" s="92">
        <v>3718</v>
      </c>
    </row>
    <row r="28" spans="2:17" ht="12.75">
      <c r="B28" s="86"/>
      <c r="C28" s="86"/>
      <c r="Q28" s="88"/>
    </row>
    <row r="29" spans="2:17" ht="12.75">
      <c r="B29" s="86" t="s">
        <v>147</v>
      </c>
      <c r="C29" s="86"/>
      <c r="D29" s="89">
        <v>610</v>
      </c>
      <c r="E29" s="89">
        <v>545</v>
      </c>
      <c r="F29" s="89">
        <v>509</v>
      </c>
      <c r="G29" s="89">
        <v>368</v>
      </c>
      <c r="H29" s="89">
        <v>164</v>
      </c>
      <c r="I29" s="89">
        <v>26</v>
      </c>
      <c r="J29" s="89">
        <v>1</v>
      </c>
      <c r="K29" s="89">
        <v>3</v>
      </c>
      <c r="L29" s="89">
        <v>72</v>
      </c>
      <c r="M29" s="89">
        <v>288</v>
      </c>
      <c r="N29" s="89">
        <v>464</v>
      </c>
      <c r="O29" s="90">
        <v>575</v>
      </c>
      <c r="P29" s="91"/>
      <c r="Q29" s="92">
        <v>3625</v>
      </c>
    </row>
    <row r="30" spans="2:17" ht="12.75">
      <c r="B30" s="86"/>
      <c r="C30" s="86"/>
      <c r="Q30" s="88"/>
    </row>
    <row r="31" spans="2:17" ht="12.75">
      <c r="B31" s="86" t="s">
        <v>148</v>
      </c>
      <c r="C31" s="86"/>
      <c r="D31" s="89">
        <v>583</v>
      </c>
      <c r="E31" s="89">
        <v>515</v>
      </c>
      <c r="F31" s="89">
        <v>481</v>
      </c>
      <c r="G31" s="89">
        <v>345</v>
      </c>
      <c r="H31" s="89">
        <v>146</v>
      </c>
      <c r="I31" s="89">
        <v>35</v>
      </c>
      <c r="J31" s="89">
        <v>3</v>
      </c>
      <c r="K31" s="89">
        <v>4</v>
      </c>
      <c r="L31" s="89">
        <v>80</v>
      </c>
      <c r="M31" s="89">
        <v>281</v>
      </c>
      <c r="N31" s="89">
        <v>441</v>
      </c>
      <c r="O31" s="90">
        <v>544</v>
      </c>
      <c r="P31" s="91"/>
      <c r="Q31" s="92">
        <v>3457</v>
      </c>
    </row>
    <row r="32" spans="2:17" ht="12.75">
      <c r="B32" s="86"/>
      <c r="C32" s="86"/>
      <c r="Q32" s="88"/>
    </row>
    <row r="33" spans="2:17" ht="12.75">
      <c r="B33" s="86" t="s">
        <v>149</v>
      </c>
      <c r="C33" s="86"/>
      <c r="D33" s="89">
        <v>578</v>
      </c>
      <c r="E33" s="89">
        <v>512</v>
      </c>
      <c r="F33" s="89">
        <v>469</v>
      </c>
      <c r="G33" s="89">
        <v>329</v>
      </c>
      <c r="H33" s="89">
        <v>129</v>
      </c>
      <c r="I33" s="89">
        <v>35</v>
      </c>
      <c r="J33" s="89">
        <v>3</v>
      </c>
      <c r="K33" s="89">
        <v>4</v>
      </c>
      <c r="L33" s="89">
        <v>78</v>
      </c>
      <c r="M33" s="89">
        <v>273</v>
      </c>
      <c r="N33" s="89">
        <v>434</v>
      </c>
      <c r="O33" s="90">
        <v>540</v>
      </c>
      <c r="P33" s="91"/>
      <c r="Q33" s="92">
        <v>3384</v>
      </c>
    </row>
    <row r="34" spans="2:17" ht="12.75">
      <c r="B34" s="86"/>
      <c r="C34" s="86"/>
      <c r="Q34" s="88"/>
    </row>
    <row r="35" spans="2:17" ht="12.75">
      <c r="B35" s="86" t="s">
        <v>150</v>
      </c>
      <c r="C35" s="86"/>
      <c r="D35" s="89">
        <v>688</v>
      </c>
      <c r="E35" s="89">
        <v>602</v>
      </c>
      <c r="F35" s="89">
        <v>551</v>
      </c>
      <c r="G35" s="89">
        <v>413</v>
      </c>
      <c r="H35" s="89">
        <v>207</v>
      </c>
      <c r="I35" s="89">
        <v>102</v>
      </c>
      <c r="J35" s="89">
        <v>41</v>
      </c>
      <c r="K35" s="89">
        <v>41</v>
      </c>
      <c r="L35" s="89">
        <v>176</v>
      </c>
      <c r="M35" s="89">
        <v>381</v>
      </c>
      <c r="N35" s="89">
        <v>539</v>
      </c>
      <c r="O35" s="90">
        <v>647</v>
      </c>
      <c r="P35" s="91"/>
      <c r="Q35" s="92">
        <v>4388</v>
      </c>
    </row>
    <row r="36" spans="2:17" ht="12.75">
      <c r="B36" s="86"/>
      <c r="C36" s="86"/>
      <c r="Q36" s="88"/>
    </row>
    <row r="37" spans="2:17" ht="12.75">
      <c r="B37" s="86" t="s">
        <v>151</v>
      </c>
      <c r="C37" s="86"/>
      <c r="D37" s="89">
        <v>647</v>
      </c>
      <c r="E37" s="89">
        <v>580</v>
      </c>
      <c r="F37" s="89">
        <v>541</v>
      </c>
      <c r="G37" s="89">
        <v>430</v>
      </c>
      <c r="H37" s="89">
        <v>242</v>
      </c>
      <c r="I37" s="89">
        <v>136</v>
      </c>
      <c r="J37" s="89">
        <v>70</v>
      </c>
      <c r="K37" s="89">
        <v>64</v>
      </c>
      <c r="L37" s="89">
        <v>179</v>
      </c>
      <c r="M37" s="89">
        <v>346</v>
      </c>
      <c r="N37" s="89">
        <v>515</v>
      </c>
      <c r="O37" s="90">
        <v>612</v>
      </c>
      <c r="P37" s="91"/>
      <c r="Q37" s="92">
        <v>4362</v>
      </c>
    </row>
    <row r="38" spans="2:17" ht="12.75">
      <c r="B38" s="86"/>
      <c r="C38" s="86"/>
      <c r="Q38" s="88"/>
    </row>
    <row r="39" spans="2:17" ht="12.75">
      <c r="B39" s="86" t="s">
        <v>152</v>
      </c>
      <c r="C39" s="86"/>
      <c r="D39" s="89">
        <v>562</v>
      </c>
      <c r="E39" s="89">
        <v>478</v>
      </c>
      <c r="F39" s="89">
        <v>392</v>
      </c>
      <c r="G39" s="89">
        <v>245</v>
      </c>
      <c r="H39" s="89">
        <v>73</v>
      </c>
      <c r="I39" s="89">
        <v>9</v>
      </c>
      <c r="J39" s="89">
        <v>0</v>
      </c>
      <c r="K39" s="89">
        <v>1</v>
      </c>
      <c r="L39" s="89">
        <v>41</v>
      </c>
      <c r="M39" s="89">
        <v>228</v>
      </c>
      <c r="N39" s="89">
        <v>424</v>
      </c>
      <c r="O39" s="90">
        <v>527</v>
      </c>
      <c r="P39" s="91"/>
      <c r="Q39" s="92">
        <v>2981</v>
      </c>
    </row>
    <row r="40" spans="2:17" ht="12.75">
      <c r="B40" s="86"/>
      <c r="C40" s="86"/>
      <c r="Q40" s="88"/>
    </row>
    <row r="41" spans="2:17" ht="12.75">
      <c r="B41" s="86" t="s">
        <v>153</v>
      </c>
      <c r="C41" s="86"/>
      <c r="D41" s="89">
        <v>601</v>
      </c>
      <c r="E41" s="89">
        <v>526</v>
      </c>
      <c r="F41" s="89">
        <v>466</v>
      </c>
      <c r="G41" s="89">
        <v>321</v>
      </c>
      <c r="H41" s="89">
        <v>130</v>
      </c>
      <c r="I41" s="89">
        <v>42</v>
      </c>
      <c r="J41" s="89">
        <v>8</v>
      </c>
      <c r="K41" s="89">
        <v>8</v>
      </c>
      <c r="L41" s="89">
        <v>87</v>
      </c>
      <c r="M41" s="89">
        <v>290</v>
      </c>
      <c r="N41" s="89">
        <v>464</v>
      </c>
      <c r="O41" s="90">
        <v>565</v>
      </c>
      <c r="P41" s="91"/>
      <c r="Q41" s="92">
        <v>3509</v>
      </c>
    </row>
    <row r="42" spans="2:17" ht="12.75">
      <c r="B42" s="86"/>
      <c r="C42" s="86"/>
      <c r="Q42" s="88"/>
    </row>
    <row r="43" spans="2:17" ht="12.75">
      <c r="B43" s="86" t="s">
        <v>154</v>
      </c>
      <c r="C43" s="86"/>
      <c r="D43" s="89">
        <v>665</v>
      </c>
      <c r="E43" s="89">
        <v>580</v>
      </c>
      <c r="F43" s="89">
        <v>525</v>
      </c>
      <c r="G43" s="89">
        <v>405</v>
      </c>
      <c r="H43" s="89">
        <v>196</v>
      </c>
      <c r="I43" s="89">
        <v>85</v>
      </c>
      <c r="J43" s="89">
        <v>32</v>
      </c>
      <c r="K43" s="89">
        <v>33</v>
      </c>
      <c r="L43" s="89">
        <v>148</v>
      </c>
      <c r="M43" s="89">
        <v>346</v>
      </c>
      <c r="N43" s="89">
        <v>523</v>
      </c>
      <c r="O43" s="90">
        <v>631</v>
      </c>
      <c r="P43" s="91"/>
      <c r="Q43" s="92">
        <v>4169</v>
      </c>
    </row>
    <row r="44" spans="2:17" ht="12.75">
      <c r="B44" s="86"/>
      <c r="C44" s="86"/>
      <c r="Q44" s="88"/>
    </row>
    <row r="45" spans="2:17" ht="12.75">
      <c r="B45" s="86" t="s">
        <v>155</v>
      </c>
      <c r="C45" s="86"/>
      <c r="D45" s="89">
        <v>602</v>
      </c>
      <c r="E45" s="89">
        <v>519</v>
      </c>
      <c r="F45" s="89">
        <v>438</v>
      </c>
      <c r="G45" s="89">
        <v>301</v>
      </c>
      <c r="H45" s="89">
        <v>103</v>
      </c>
      <c r="I45" s="89">
        <v>30</v>
      </c>
      <c r="J45" s="89">
        <v>5</v>
      </c>
      <c r="K45" s="89">
        <v>5</v>
      </c>
      <c r="L45" s="89">
        <v>61</v>
      </c>
      <c r="M45" s="89">
        <v>270</v>
      </c>
      <c r="N45" s="89">
        <v>467</v>
      </c>
      <c r="O45" s="90">
        <v>567</v>
      </c>
      <c r="P45" s="91"/>
      <c r="Q45" s="92">
        <v>3366</v>
      </c>
    </row>
    <row r="46" spans="2:17" ht="12.75">
      <c r="B46" s="86"/>
      <c r="C46" s="86"/>
      <c r="Q46" s="88"/>
    </row>
    <row r="47" spans="2:17" ht="12.75">
      <c r="B47" s="86" t="s">
        <v>156</v>
      </c>
      <c r="C47" s="86"/>
      <c r="D47" s="89">
        <v>603</v>
      </c>
      <c r="E47" s="89">
        <v>534</v>
      </c>
      <c r="F47" s="89">
        <v>471</v>
      </c>
      <c r="G47" s="89">
        <v>325</v>
      </c>
      <c r="H47" s="89">
        <v>116</v>
      </c>
      <c r="I47" s="89">
        <v>29</v>
      </c>
      <c r="J47" s="89">
        <v>2</v>
      </c>
      <c r="K47" s="89">
        <v>4</v>
      </c>
      <c r="L47" s="89">
        <v>71</v>
      </c>
      <c r="M47" s="89">
        <v>275</v>
      </c>
      <c r="N47" s="89">
        <v>465</v>
      </c>
      <c r="O47" s="90">
        <v>573</v>
      </c>
      <c r="P47" s="91"/>
      <c r="Q47" s="92">
        <v>3468</v>
      </c>
    </row>
    <row r="48" spans="2:17" ht="12.75">
      <c r="B48" s="86"/>
      <c r="C48" s="86"/>
      <c r="Q48" s="88"/>
    </row>
    <row r="49" spans="2:17" ht="12.75">
      <c r="B49" s="86" t="s">
        <v>157</v>
      </c>
      <c r="C49" s="86"/>
      <c r="D49" s="89">
        <v>633</v>
      </c>
      <c r="E49" s="89">
        <v>547</v>
      </c>
      <c r="F49" s="89">
        <v>493</v>
      </c>
      <c r="G49" s="89">
        <v>325</v>
      </c>
      <c r="H49" s="89">
        <v>116</v>
      </c>
      <c r="I49" s="89">
        <v>31</v>
      </c>
      <c r="J49" s="89">
        <v>3</v>
      </c>
      <c r="K49" s="89">
        <v>6</v>
      </c>
      <c r="L49" s="89">
        <v>87</v>
      </c>
      <c r="M49" s="89">
        <v>292</v>
      </c>
      <c r="N49" s="89">
        <v>479</v>
      </c>
      <c r="O49" s="90">
        <v>591</v>
      </c>
      <c r="P49" s="91"/>
      <c r="Q49" s="92">
        <v>3602</v>
      </c>
    </row>
    <row r="50" spans="2:17" ht="12.75">
      <c r="B50" s="86"/>
      <c r="C50" s="86"/>
      <c r="Q50" s="88"/>
    </row>
    <row r="51" spans="2:17" ht="12.75">
      <c r="B51" s="86" t="s">
        <v>158</v>
      </c>
      <c r="C51" s="86"/>
      <c r="D51" s="89">
        <v>572</v>
      </c>
      <c r="E51" s="89">
        <v>524</v>
      </c>
      <c r="F51" s="89">
        <v>519</v>
      </c>
      <c r="G51" s="89">
        <v>398</v>
      </c>
      <c r="H51" s="89">
        <v>209</v>
      </c>
      <c r="I51" s="89">
        <v>58</v>
      </c>
      <c r="J51" s="89">
        <v>2</v>
      </c>
      <c r="K51" s="89">
        <v>0</v>
      </c>
      <c r="L51" s="89">
        <v>45</v>
      </c>
      <c r="M51" s="89">
        <v>244</v>
      </c>
      <c r="N51" s="89">
        <v>416</v>
      </c>
      <c r="O51" s="90">
        <v>517</v>
      </c>
      <c r="P51" s="91"/>
      <c r="Q51" s="92">
        <v>3505</v>
      </c>
    </row>
    <row r="52" spans="2:17" ht="12.75">
      <c r="B52" s="86"/>
      <c r="C52" s="86"/>
      <c r="Q52" s="88"/>
    </row>
    <row r="53" spans="2:17" ht="12.75">
      <c r="B53" s="86" t="s">
        <v>159</v>
      </c>
      <c r="C53" s="86"/>
      <c r="D53" s="89">
        <v>607</v>
      </c>
      <c r="E53" s="89">
        <v>532</v>
      </c>
      <c r="F53" s="89">
        <v>477</v>
      </c>
      <c r="G53" s="89">
        <v>323</v>
      </c>
      <c r="H53" s="89">
        <v>115</v>
      </c>
      <c r="I53" s="89">
        <v>30</v>
      </c>
      <c r="J53" s="89">
        <v>2</v>
      </c>
      <c r="K53" s="89">
        <v>3</v>
      </c>
      <c r="L53" s="89">
        <v>75</v>
      </c>
      <c r="M53" s="89">
        <v>286</v>
      </c>
      <c r="N53" s="89">
        <v>460</v>
      </c>
      <c r="O53" s="90">
        <v>567</v>
      </c>
      <c r="P53" s="91"/>
      <c r="Q53" s="92">
        <v>3478</v>
      </c>
    </row>
    <row r="54" spans="2:17" ht="12.75">
      <c r="B54" s="86"/>
      <c r="C54" s="86"/>
      <c r="Q54" s="88"/>
    </row>
    <row r="55" spans="2:17" ht="12.75">
      <c r="B55" s="86" t="s">
        <v>160</v>
      </c>
      <c r="C55" s="86"/>
      <c r="D55" s="89">
        <v>669</v>
      </c>
      <c r="E55" s="89">
        <v>583</v>
      </c>
      <c r="F55" s="89">
        <v>519</v>
      </c>
      <c r="G55" s="89">
        <v>372</v>
      </c>
      <c r="H55" s="89">
        <v>175</v>
      </c>
      <c r="I55" s="89">
        <v>87</v>
      </c>
      <c r="J55" s="89">
        <v>27</v>
      </c>
      <c r="K55" s="89">
        <v>25</v>
      </c>
      <c r="L55" s="89">
        <v>172</v>
      </c>
      <c r="M55" s="89">
        <v>356</v>
      </c>
      <c r="N55" s="89">
        <v>522</v>
      </c>
      <c r="O55" s="90">
        <v>625</v>
      </c>
      <c r="P55" s="91"/>
      <c r="Q55" s="92">
        <v>4102</v>
      </c>
    </row>
    <row r="56" spans="2:17" ht="12.75">
      <c r="B56" s="86"/>
      <c r="C56" s="86"/>
      <c r="Q56" s="88"/>
    </row>
    <row r="57" spans="2:17" ht="12.75">
      <c r="B57" s="86" t="s">
        <v>161</v>
      </c>
      <c r="C57" s="86"/>
      <c r="D57" s="89">
        <v>643</v>
      </c>
      <c r="E57" s="89">
        <v>532</v>
      </c>
      <c r="F57" s="89">
        <v>470</v>
      </c>
      <c r="G57" s="89">
        <v>301</v>
      </c>
      <c r="H57" s="89">
        <v>86</v>
      </c>
      <c r="I57" s="89">
        <v>23</v>
      </c>
      <c r="J57" s="89">
        <v>6</v>
      </c>
      <c r="K57" s="89">
        <v>8</v>
      </c>
      <c r="L57" s="89">
        <v>105</v>
      </c>
      <c r="M57" s="89">
        <v>292</v>
      </c>
      <c r="N57" s="89">
        <v>497</v>
      </c>
      <c r="O57" s="90">
        <v>607</v>
      </c>
      <c r="P57" s="91"/>
      <c r="Q57" s="92">
        <v>3571</v>
      </c>
    </row>
    <row r="58" spans="2:17" ht="12.75">
      <c r="B58" s="86"/>
      <c r="C58" s="86"/>
      <c r="Q58" s="88"/>
    </row>
    <row r="59" spans="2:17" ht="12.75">
      <c r="B59" s="86" t="s">
        <v>162</v>
      </c>
      <c r="C59" s="86"/>
      <c r="D59" s="89">
        <v>610</v>
      </c>
      <c r="E59" s="89">
        <v>541</v>
      </c>
      <c r="F59" s="89">
        <v>496</v>
      </c>
      <c r="G59" s="89">
        <v>335</v>
      </c>
      <c r="H59" s="89">
        <v>116</v>
      </c>
      <c r="I59" s="89">
        <v>25</v>
      </c>
      <c r="J59" s="89">
        <v>2</v>
      </c>
      <c r="K59" s="89">
        <v>2</v>
      </c>
      <c r="L59" s="89">
        <v>79</v>
      </c>
      <c r="M59" s="89">
        <v>290</v>
      </c>
      <c r="N59" s="89">
        <v>465</v>
      </c>
      <c r="O59" s="90">
        <v>572</v>
      </c>
      <c r="P59" s="91"/>
      <c r="Q59" s="92">
        <v>3533</v>
      </c>
    </row>
    <row r="60" spans="2:17" ht="12.75">
      <c r="B60" s="86"/>
      <c r="C60" s="86"/>
      <c r="Q60" s="88"/>
    </row>
    <row r="61" spans="2:17" ht="12.75">
      <c r="B61" s="86" t="s">
        <v>163</v>
      </c>
      <c r="C61" s="86"/>
      <c r="D61" s="89">
        <v>613</v>
      </c>
      <c r="E61" s="89">
        <v>517</v>
      </c>
      <c r="F61" s="89">
        <v>477</v>
      </c>
      <c r="G61" s="89">
        <v>353</v>
      </c>
      <c r="H61" s="89">
        <v>181</v>
      </c>
      <c r="I61" s="89">
        <v>72</v>
      </c>
      <c r="J61" s="89">
        <v>28</v>
      </c>
      <c r="K61" s="89">
        <v>17</v>
      </c>
      <c r="L61" s="89">
        <v>131</v>
      </c>
      <c r="M61" s="89">
        <v>331</v>
      </c>
      <c r="N61" s="89">
        <v>483</v>
      </c>
      <c r="O61" s="90">
        <v>589</v>
      </c>
      <c r="P61" s="91"/>
      <c r="Q61" s="92">
        <v>3792</v>
      </c>
    </row>
    <row r="62" spans="2:17" ht="12.75">
      <c r="B62" s="86"/>
      <c r="C62" s="86"/>
      <c r="Q62" s="88"/>
    </row>
    <row r="63" spans="2:17" ht="12.75">
      <c r="B63" s="86" t="s">
        <v>164</v>
      </c>
      <c r="C63" s="86"/>
      <c r="D63" s="89">
        <v>622</v>
      </c>
      <c r="E63" s="89">
        <v>537</v>
      </c>
      <c r="F63" s="89">
        <v>467</v>
      </c>
      <c r="G63" s="89">
        <v>318</v>
      </c>
      <c r="H63" s="89">
        <v>109</v>
      </c>
      <c r="I63" s="89">
        <v>28</v>
      </c>
      <c r="J63" s="89">
        <v>3</v>
      </c>
      <c r="K63" s="89">
        <v>7</v>
      </c>
      <c r="L63" s="89">
        <v>89</v>
      </c>
      <c r="M63" s="89">
        <v>298</v>
      </c>
      <c r="N63" s="89">
        <v>478</v>
      </c>
      <c r="O63" s="90">
        <v>584</v>
      </c>
      <c r="P63" s="91"/>
      <c r="Q63" s="92">
        <v>3539</v>
      </c>
    </row>
    <row r="64" spans="2:17" ht="12.75">
      <c r="B64" s="86"/>
      <c r="C64" s="86"/>
      <c r="Q64" s="88"/>
    </row>
    <row r="65" spans="2:17" ht="12.75">
      <c r="B65" s="86" t="s">
        <v>165</v>
      </c>
      <c r="C65" s="86"/>
      <c r="D65" s="89">
        <v>622</v>
      </c>
      <c r="E65" s="89">
        <v>540</v>
      </c>
      <c r="F65" s="89">
        <v>484</v>
      </c>
      <c r="G65" s="89">
        <v>319</v>
      </c>
      <c r="H65" s="89">
        <v>111</v>
      </c>
      <c r="I65" s="89">
        <v>28</v>
      </c>
      <c r="J65" s="89">
        <v>3</v>
      </c>
      <c r="K65" s="89">
        <v>5</v>
      </c>
      <c r="L65" s="89">
        <v>85</v>
      </c>
      <c r="M65" s="89">
        <v>294</v>
      </c>
      <c r="N65" s="89">
        <v>473</v>
      </c>
      <c r="O65" s="90">
        <v>582</v>
      </c>
      <c r="P65" s="91"/>
      <c r="Q65" s="92">
        <v>3546</v>
      </c>
    </row>
    <row r="66" spans="2:17" ht="12.75">
      <c r="B66" s="86"/>
      <c r="C66" s="86"/>
      <c r="Q66" s="88"/>
    </row>
    <row r="67" spans="2:17" ht="12.75">
      <c r="B67" s="86" t="s">
        <v>166</v>
      </c>
      <c r="C67" s="86"/>
      <c r="D67" s="89">
        <v>592</v>
      </c>
      <c r="E67" s="89">
        <v>526</v>
      </c>
      <c r="F67" s="89">
        <v>503</v>
      </c>
      <c r="G67" s="89">
        <v>380</v>
      </c>
      <c r="H67" s="89">
        <v>178</v>
      </c>
      <c r="I67" s="89">
        <v>26</v>
      </c>
      <c r="J67" s="89">
        <v>0</v>
      </c>
      <c r="K67" s="89">
        <v>0</v>
      </c>
      <c r="L67" s="89">
        <v>53</v>
      </c>
      <c r="M67" s="89">
        <v>268</v>
      </c>
      <c r="N67" s="89">
        <v>440</v>
      </c>
      <c r="O67" s="90">
        <v>543</v>
      </c>
      <c r="P67" s="91"/>
      <c r="Q67" s="92">
        <v>3509</v>
      </c>
    </row>
    <row r="68" spans="2:17" ht="12.75">
      <c r="B68" s="86"/>
      <c r="C68" s="86"/>
      <c r="Q68" s="88"/>
    </row>
    <row r="69" spans="2:17" ht="12.75">
      <c r="B69" s="86" t="s">
        <v>167</v>
      </c>
      <c r="C69" s="86"/>
      <c r="D69" s="89">
        <v>592</v>
      </c>
      <c r="E69" s="89">
        <v>510</v>
      </c>
      <c r="F69" s="89">
        <v>448</v>
      </c>
      <c r="G69" s="89">
        <v>318</v>
      </c>
      <c r="H69" s="89">
        <v>135</v>
      </c>
      <c r="I69" s="89">
        <v>45</v>
      </c>
      <c r="J69" s="89">
        <v>8</v>
      </c>
      <c r="K69" s="89">
        <v>8</v>
      </c>
      <c r="L69" s="89">
        <v>84</v>
      </c>
      <c r="M69" s="89">
        <v>384</v>
      </c>
      <c r="N69" s="89">
        <v>458</v>
      </c>
      <c r="O69" s="90">
        <v>557</v>
      </c>
      <c r="P69" s="91"/>
      <c r="Q69" s="92">
        <v>3447</v>
      </c>
    </row>
    <row r="70" spans="2:17" ht="12.75">
      <c r="B70" s="86"/>
      <c r="C70" s="86"/>
      <c r="Q70" s="88"/>
    </row>
    <row r="71" spans="2:17" ht="12.75">
      <c r="B71" s="86" t="s">
        <v>168</v>
      </c>
      <c r="C71" s="86"/>
      <c r="D71" s="89">
        <v>593</v>
      </c>
      <c r="E71" s="89">
        <v>533</v>
      </c>
      <c r="F71" s="89">
        <v>514</v>
      </c>
      <c r="G71" s="89">
        <v>390</v>
      </c>
      <c r="H71" s="89">
        <v>199</v>
      </c>
      <c r="I71" s="89">
        <v>57</v>
      </c>
      <c r="J71" s="89">
        <v>5</v>
      </c>
      <c r="K71" s="89">
        <v>5</v>
      </c>
      <c r="L71" s="89">
        <v>94</v>
      </c>
      <c r="M71" s="89">
        <v>300</v>
      </c>
      <c r="N71" s="89">
        <v>452</v>
      </c>
      <c r="O71" s="90">
        <v>551</v>
      </c>
      <c r="P71" s="91"/>
      <c r="Q71" s="92">
        <v>3694</v>
      </c>
    </row>
    <row r="72" spans="2:17" ht="12.75">
      <c r="B72" s="86"/>
      <c r="C72" s="86"/>
      <c r="Q72" s="88"/>
    </row>
    <row r="73" spans="2:17" ht="12.75">
      <c r="B73" s="86" t="s">
        <v>169</v>
      </c>
      <c r="C73" s="86"/>
      <c r="D73" s="89">
        <v>609</v>
      </c>
      <c r="E73" s="89">
        <v>538</v>
      </c>
      <c r="F73" s="89">
        <v>500</v>
      </c>
      <c r="G73" s="89">
        <v>354</v>
      </c>
      <c r="H73" s="89">
        <v>146</v>
      </c>
      <c r="I73" s="89">
        <v>39</v>
      </c>
      <c r="J73" s="89">
        <v>2</v>
      </c>
      <c r="K73" s="89">
        <v>3</v>
      </c>
      <c r="L73" s="89">
        <v>81</v>
      </c>
      <c r="M73" s="89">
        <v>294</v>
      </c>
      <c r="N73" s="89">
        <v>461</v>
      </c>
      <c r="O73" s="90">
        <v>564</v>
      </c>
      <c r="P73" s="91"/>
      <c r="Q73" s="92">
        <v>3593</v>
      </c>
    </row>
    <row r="74" spans="2:17" ht="12.75">
      <c r="B74" s="86"/>
      <c r="C74" s="86"/>
      <c r="Q74" s="88"/>
    </row>
    <row r="75" spans="2:17" ht="12.75">
      <c r="B75" s="86" t="s">
        <v>87</v>
      </c>
      <c r="C75" s="86"/>
      <c r="D75" s="89">
        <v>678</v>
      </c>
      <c r="E75" s="89">
        <v>542</v>
      </c>
      <c r="F75" s="89">
        <v>481</v>
      </c>
      <c r="G75" s="89">
        <v>308</v>
      </c>
      <c r="H75" s="89">
        <v>91</v>
      </c>
      <c r="I75" s="89">
        <v>18</v>
      </c>
      <c r="J75" s="89">
        <v>4</v>
      </c>
      <c r="K75" s="89">
        <v>4</v>
      </c>
      <c r="L75" s="89">
        <v>115</v>
      </c>
      <c r="M75" s="89">
        <v>332</v>
      </c>
      <c r="N75" s="89">
        <v>501</v>
      </c>
      <c r="O75" s="90">
        <v>630</v>
      </c>
      <c r="P75" s="91"/>
      <c r="Q75" s="92">
        <v>3704</v>
      </c>
    </row>
    <row r="76" spans="2:17" ht="12.75">
      <c r="B76" s="86"/>
      <c r="C76" s="86"/>
      <c r="Q76" s="88"/>
    </row>
    <row r="77" spans="2:17" ht="12.75">
      <c r="B77" s="86" t="s">
        <v>170</v>
      </c>
      <c r="C77" s="86"/>
      <c r="D77" s="89">
        <v>609</v>
      </c>
      <c r="E77" s="89">
        <v>526</v>
      </c>
      <c r="F77" s="89">
        <v>456</v>
      </c>
      <c r="G77" s="89">
        <v>319</v>
      </c>
      <c r="H77" s="89">
        <v>121</v>
      </c>
      <c r="I77" s="89">
        <v>35</v>
      </c>
      <c r="J77" s="89">
        <v>5</v>
      </c>
      <c r="K77" s="89">
        <v>8</v>
      </c>
      <c r="L77" s="89">
        <v>84</v>
      </c>
      <c r="M77" s="89">
        <v>287</v>
      </c>
      <c r="N77" s="89">
        <v>472</v>
      </c>
      <c r="O77" s="90">
        <v>574</v>
      </c>
      <c r="P77" s="91"/>
      <c r="Q77" s="92">
        <v>3498</v>
      </c>
    </row>
    <row r="78" spans="2:17" ht="12.75">
      <c r="B78" s="86"/>
      <c r="C78" s="86"/>
      <c r="Q78" s="88"/>
    </row>
    <row r="79" spans="2:17" ht="12.75">
      <c r="B79" s="86" t="s">
        <v>171</v>
      </c>
      <c r="C79" s="86"/>
      <c r="D79" s="89">
        <v>578</v>
      </c>
      <c r="E79" s="89">
        <v>501</v>
      </c>
      <c r="F79" s="89">
        <v>439</v>
      </c>
      <c r="G79" s="89">
        <v>310</v>
      </c>
      <c r="H79" s="89">
        <v>126</v>
      </c>
      <c r="I79" s="89">
        <v>35</v>
      </c>
      <c r="J79" s="89">
        <v>6</v>
      </c>
      <c r="K79" s="89">
        <v>6</v>
      </c>
      <c r="L79" s="89">
        <v>76</v>
      </c>
      <c r="M79" s="89">
        <v>269</v>
      </c>
      <c r="N79" s="89">
        <v>447</v>
      </c>
      <c r="O79" s="90">
        <v>544</v>
      </c>
      <c r="P79" s="91"/>
      <c r="Q79" s="92">
        <v>3337</v>
      </c>
    </row>
    <row r="80" spans="2:17" ht="12.75">
      <c r="B80" s="86"/>
      <c r="C80" s="86"/>
      <c r="Q80" s="88"/>
    </row>
    <row r="81" spans="2:17" ht="12.75">
      <c r="B81" s="86" t="s">
        <v>172</v>
      </c>
      <c r="C81" s="86"/>
      <c r="D81" s="89">
        <v>463</v>
      </c>
      <c r="E81" s="89">
        <v>426</v>
      </c>
      <c r="F81" s="89">
        <v>441</v>
      </c>
      <c r="G81" s="89">
        <v>367</v>
      </c>
      <c r="H81" s="89">
        <v>222</v>
      </c>
      <c r="I81" s="89">
        <v>4</v>
      </c>
      <c r="J81" s="89">
        <v>0</v>
      </c>
      <c r="K81" s="89">
        <v>160</v>
      </c>
      <c r="L81" s="89">
        <v>180</v>
      </c>
      <c r="M81" s="89">
        <v>130</v>
      </c>
      <c r="N81" s="89">
        <v>305</v>
      </c>
      <c r="O81" s="90">
        <v>420</v>
      </c>
      <c r="P81" s="91"/>
      <c r="Q81" s="92">
        <v>3117</v>
      </c>
    </row>
    <row r="82" spans="2:17" ht="12.75">
      <c r="B82" s="86"/>
      <c r="C82" s="86"/>
      <c r="Q82" s="88"/>
    </row>
    <row r="83" spans="2:17" ht="12.75">
      <c r="B83" s="86" t="s">
        <v>173</v>
      </c>
      <c r="C83" s="86"/>
      <c r="D83" s="89">
        <v>603</v>
      </c>
      <c r="E83" s="89">
        <v>541</v>
      </c>
      <c r="F83" s="89">
        <v>532</v>
      </c>
      <c r="G83" s="89">
        <v>413</v>
      </c>
      <c r="H83" s="89">
        <v>214</v>
      </c>
      <c r="I83" s="89">
        <v>30</v>
      </c>
      <c r="J83" s="89">
        <v>0</v>
      </c>
      <c r="K83" s="89">
        <v>0</v>
      </c>
      <c r="L83" s="89">
        <v>43</v>
      </c>
      <c r="M83" s="89">
        <v>259</v>
      </c>
      <c r="N83" s="89">
        <v>427</v>
      </c>
      <c r="O83" s="90">
        <v>531</v>
      </c>
      <c r="P83" s="91"/>
      <c r="Q83" s="92">
        <v>3594</v>
      </c>
    </row>
    <row r="84" spans="2:17" ht="12.75">
      <c r="B84" s="86"/>
      <c r="C84" s="86"/>
      <c r="Q84" s="88"/>
    </row>
    <row r="85" spans="2:17" ht="12.75">
      <c r="B85" s="86" t="s">
        <v>174</v>
      </c>
      <c r="C85" s="86"/>
      <c r="D85" s="89">
        <v>611</v>
      </c>
      <c r="E85" s="89">
        <v>524</v>
      </c>
      <c r="F85" s="89">
        <v>446</v>
      </c>
      <c r="G85" s="89">
        <v>297</v>
      </c>
      <c r="H85" s="89">
        <v>105</v>
      </c>
      <c r="I85" s="89">
        <v>28</v>
      </c>
      <c r="J85" s="89">
        <v>2</v>
      </c>
      <c r="K85" s="89">
        <v>5</v>
      </c>
      <c r="L85" s="89">
        <v>72</v>
      </c>
      <c r="M85" s="89">
        <v>286</v>
      </c>
      <c r="N85" s="89">
        <v>468</v>
      </c>
      <c r="O85" s="90">
        <v>571</v>
      </c>
      <c r="P85" s="91"/>
      <c r="Q85" s="92">
        <v>3414</v>
      </c>
    </row>
    <row r="86" spans="2:17" ht="12.75">
      <c r="B86" s="86"/>
      <c r="C86" s="86"/>
      <c r="Q86" s="88"/>
    </row>
    <row r="88" ht="12.75">
      <c r="A88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90</v>
      </c>
      <c r="C1" s="81"/>
      <c r="D1" s="82" t="s">
        <v>91</v>
      </c>
      <c r="E1" s="82" t="s">
        <v>92</v>
      </c>
      <c r="F1" s="82" t="s">
        <v>93</v>
      </c>
      <c r="G1" s="82" t="s">
        <v>94</v>
      </c>
      <c r="H1" s="82" t="s">
        <v>15</v>
      </c>
      <c r="I1" s="82" t="s">
        <v>95</v>
      </c>
      <c r="J1" s="82" t="s">
        <v>96</v>
      </c>
      <c r="K1" s="82" t="s">
        <v>97</v>
      </c>
      <c r="L1" s="82" t="s">
        <v>98</v>
      </c>
      <c r="M1" s="82" t="s">
        <v>99</v>
      </c>
      <c r="N1" s="82" t="s">
        <v>100</v>
      </c>
      <c r="O1" s="82" t="s">
        <v>101</v>
      </c>
      <c r="P1" s="79"/>
      <c r="Q1" s="83" t="s">
        <v>102</v>
      </c>
    </row>
    <row r="2" spans="2:17" ht="12.75">
      <c r="B2" s="85"/>
      <c r="C2" s="86"/>
      <c r="Q2" s="88"/>
    </row>
    <row r="3" spans="2:17" ht="12.75">
      <c r="B3" s="86" t="s">
        <v>103</v>
      </c>
      <c r="C3" s="86"/>
      <c r="D3" s="89">
        <v>708</v>
      </c>
      <c r="E3" s="89">
        <v>598</v>
      </c>
      <c r="F3" s="89">
        <v>583</v>
      </c>
      <c r="G3" s="89">
        <v>447</v>
      </c>
      <c r="H3" s="89">
        <v>300</v>
      </c>
      <c r="I3" s="89">
        <v>110</v>
      </c>
      <c r="J3" s="89">
        <v>41</v>
      </c>
      <c r="K3" s="89">
        <v>59</v>
      </c>
      <c r="L3" s="89">
        <v>156</v>
      </c>
      <c r="M3" s="89">
        <v>376</v>
      </c>
      <c r="N3" s="89">
        <v>547</v>
      </c>
      <c r="O3" s="90">
        <v>690</v>
      </c>
      <c r="P3" s="91"/>
      <c r="Q3" s="92">
        <v>4615</v>
      </c>
    </row>
    <row r="4" spans="2:17" ht="12.75">
      <c r="B4" s="86"/>
      <c r="C4" s="86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3"/>
      <c r="P4" s="91"/>
      <c r="Q4" s="92"/>
    </row>
    <row r="5" spans="2:17" ht="12.75">
      <c r="B5" s="86" t="s">
        <v>104</v>
      </c>
      <c r="C5" s="86"/>
      <c r="D5" s="89">
        <v>646</v>
      </c>
      <c r="E5" s="89">
        <v>523</v>
      </c>
      <c r="F5" s="89">
        <v>483</v>
      </c>
      <c r="G5" s="89">
        <v>273</v>
      </c>
      <c r="H5" s="89">
        <v>145</v>
      </c>
      <c r="I5" s="89">
        <v>44</v>
      </c>
      <c r="J5" s="89">
        <v>21</v>
      </c>
      <c r="K5" s="89">
        <v>24</v>
      </c>
      <c r="L5" s="89">
        <v>63</v>
      </c>
      <c r="M5" s="89">
        <v>259</v>
      </c>
      <c r="N5" s="89">
        <v>438</v>
      </c>
      <c r="O5" s="90">
        <v>662</v>
      </c>
      <c r="P5" s="91"/>
      <c r="Q5" s="92">
        <v>3581</v>
      </c>
    </row>
    <row r="6" spans="2:17" ht="12.75">
      <c r="B6" s="86"/>
      <c r="C6" s="86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3"/>
      <c r="P6" s="91"/>
      <c r="Q6" s="92"/>
    </row>
    <row r="7" spans="2:17" ht="12.75">
      <c r="B7" s="86" t="s">
        <v>105</v>
      </c>
      <c r="C7" s="86"/>
      <c r="D7" s="89">
        <v>619</v>
      </c>
      <c r="E7" s="89">
        <v>500</v>
      </c>
      <c r="F7" s="89">
        <v>465</v>
      </c>
      <c r="G7" s="89">
        <v>273</v>
      </c>
      <c r="H7" s="89">
        <v>120</v>
      </c>
      <c r="I7" s="89">
        <v>27</v>
      </c>
      <c r="J7" s="89">
        <v>7</v>
      </c>
      <c r="K7" s="89">
        <v>8</v>
      </c>
      <c r="L7" s="89">
        <v>47</v>
      </c>
      <c r="M7" s="89">
        <v>233</v>
      </c>
      <c r="N7" s="89">
        <v>442</v>
      </c>
      <c r="O7" s="90">
        <v>607</v>
      </c>
      <c r="P7" s="91"/>
      <c r="Q7" s="92">
        <v>3348</v>
      </c>
    </row>
    <row r="8" spans="2:17" ht="12.75">
      <c r="B8" s="86"/>
      <c r="C8" s="86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3"/>
      <c r="P8" s="91"/>
      <c r="Q8" s="92"/>
    </row>
    <row r="9" spans="2:17" ht="12.75">
      <c r="B9" s="86" t="s">
        <v>106</v>
      </c>
      <c r="C9" s="86"/>
      <c r="D9" s="89">
        <v>666</v>
      </c>
      <c r="E9" s="89">
        <v>571</v>
      </c>
      <c r="F9" s="89">
        <v>571</v>
      </c>
      <c r="G9" s="89">
        <v>417</v>
      </c>
      <c r="H9" s="89">
        <v>289</v>
      </c>
      <c r="I9" s="89">
        <v>138</v>
      </c>
      <c r="J9" s="89">
        <v>74</v>
      </c>
      <c r="K9" s="89">
        <v>89</v>
      </c>
      <c r="L9" s="89">
        <v>140</v>
      </c>
      <c r="M9" s="89">
        <v>302</v>
      </c>
      <c r="N9" s="89">
        <v>495</v>
      </c>
      <c r="O9" s="90">
        <v>652</v>
      </c>
      <c r="P9" s="91"/>
      <c r="Q9" s="92">
        <v>4404</v>
      </c>
    </row>
    <row r="10" spans="2:17" ht="12.75">
      <c r="B10" s="86"/>
      <c r="C10" s="86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3"/>
      <c r="P10" s="91"/>
      <c r="Q10" s="92"/>
    </row>
    <row r="11" spans="2:17" ht="12.75">
      <c r="B11" s="86" t="s">
        <v>107</v>
      </c>
      <c r="C11" s="86"/>
      <c r="D11" s="89">
        <v>661</v>
      </c>
      <c r="E11" s="89">
        <v>532</v>
      </c>
      <c r="F11" s="89">
        <v>499</v>
      </c>
      <c r="G11" s="89">
        <v>305</v>
      </c>
      <c r="H11" s="89">
        <v>148</v>
      </c>
      <c r="I11" s="89">
        <v>42</v>
      </c>
      <c r="J11" s="89">
        <v>16</v>
      </c>
      <c r="K11" s="89">
        <v>17</v>
      </c>
      <c r="L11" s="89">
        <v>66</v>
      </c>
      <c r="M11" s="89">
        <v>262</v>
      </c>
      <c r="N11" s="89">
        <v>475</v>
      </c>
      <c r="O11" s="90">
        <v>645</v>
      </c>
      <c r="P11" s="91"/>
      <c r="Q11" s="92">
        <v>3668</v>
      </c>
    </row>
    <row r="12" spans="2:17" ht="12.75">
      <c r="B12" s="86"/>
      <c r="C12" s="86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3"/>
      <c r="P12" s="91"/>
      <c r="Q12" s="92"/>
    </row>
    <row r="13" spans="2:17" ht="12.75">
      <c r="B13" s="86" t="s">
        <v>108</v>
      </c>
      <c r="C13" s="86"/>
      <c r="D13" s="89">
        <v>634</v>
      </c>
      <c r="E13" s="89">
        <v>520</v>
      </c>
      <c r="F13" s="89">
        <v>497</v>
      </c>
      <c r="G13" s="89">
        <v>295</v>
      </c>
      <c r="H13" s="89">
        <v>149</v>
      </c>
      <c r="I13" s="89">
        <v>26</v>
      </c>
      <c r="J13" s="89">
        <v>8</v>
      </c>
      <c r="K13" s="89">
        <v>10</v>
      </c>
      <c r="L13" s="89">
        <v>56</v>
      </c>
      <c r="M13" s="89">
        <v>249</v>
      </c>
      <c r="N13" s="89">
        <v>453</v>
      </c>
      <c r="O13" s="90">
        <v>613</v>
      </c>
      <c r="P13" s="91"/>
      <c r="Q13" s="92">
        <v>3510</v>
      </c>
    </row>
    <row r="14" spans="2:17" ht="12.75">
      <c r="B14" s="86"/>
      <c r="C14" s="86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3"/>
      <c r="P14" s="91"/>
      <c r="Q14" s="92"/>
    </row>
    <row r="15" spans="2:17" ht="12.75">
      <c r="B15" s="86" t="s">
        <v>109</v>
      </c>
      <c r="C15" s="86"/>
      <c r="D15" s="89">
        <v>605</v>
      </c>
      <c r="E15" s="89">
        <v>502</v>
      </c>
      <c r="F15" s="89">
        <v>454</v>
      </c>
      <c r="G15" s="89">
        <v>269</v>
      </c>
      <c r="H15" s="89">
        <v>118</v>
      </c>
      <c r="I15" s="89">
        <v>24</v>
      </c>
      <c r="J15" s="89">
        <v>4</v>
      </c>
      <c r="K15" s="89">
        <v>4</v>
      </c>
      <c r="L15" s="89">
        <v>52</v>
      </c>
      <c r="M15" s="89">
        <v>245</v>
      </c>
      <c r="N15" s="89">
        <v>451</v>
      </c>
      <c r="O15" s="90">
        <v>576</v>
      </c>
      <c r="P15" s="91"/>
      <c r="Q15" s="92">
        <v>3304</v>
      </c>
    </row>
    <row r="16" spans="2:17" ht="12.75">
      <c r="B16" s="86"/>
      <c r="C16" s="86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3"/>
      <c r="P16" s="91"/>
      <c r="Q16" s="92"/>
    </row>
    <row r="17" spans="2:17" ht="12.75">
      <c r="B17" s="86" t="s">
        <v>110</v>
      </c>
      <c r="C17" s="86"/>
      <c r="D17" s="89">
        <v>813</v>
      </c>
      <c r="E17" s="89">
        <v>712</v>
      </c>
      <c r="F17" s="89">
        <v>700</v>
      </c>
      <c r="G17" s="89">
        <v>528</v>
      </c>
      <c r="H17" s="89">
        <v>401</v>
      </c>
      <c r="I17" s="89">
        <v>214</v>
      </c>
      <c r="J17" s="89">
        <v>151</v>
      </c>
      <c r="K17" s="89">
        <v>195</v>
      </c>
      <c r="L17" s="89">
        <v>282</v>
      </c>
      <c r="M17" s="89">
        <v>460</v>
      </c>
      <c r="N17" s="89">
        <v>618</v>
      </c>
      <c r="O17" s="90">
        <v>807</v>
      </c>
      <c r="P17" s="91"/>
      <c r="Q17" s="92">
        <v>5884</v>
      </c>
    </row>
    <row r="18" spans="2:17" ht="12.75">
      <c r="B18" s="86"/>
      <c r="C18" s="86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3"/>
      <c r="P18" s="91"/>
      <c r="Q18" s="92"/>
    </row>
    <row r="19" spans="2:17" ht="12.75">
      <c r="B19" s="86" t="s">
        <v>111</v>
      </c>
      <c r="C19" s="86"/>
      <c r="D19" s="89">
        <v>650</v>
      </c>
      <c r="E19" s="89">
        <v>529</v>
      </c>
      <c r="F19" s="89">
        <v>505</v>
      </c>
      <c r="G19" s="89">
        <v>327</v>
      </c>
      <c r="H19" s="89">
        <v>172</v>
      </c>
      <c r="I19" s="89">
        <v>36</v>
      </c>
      <c r="J19" s="89">
        <v>14</v>
      </c>
      <c r="K19" s="89">
        <v>17</v>
      </c>
      <c r="L19" s="89">
        <v>78</v>
      </c>
      <c r="M19" s="89">
        <v>254</v>
      </c>
      <c r="N19" s="89">
        <v>464</v>
      </c>
      <c r="O19" s="90">
        <v>637</v>
      </c>
      <c r="P19" s="91"/>
      <c r="Q19" s="92">
        <v>3683</v>
      </c>
    </row>
    <row r="20" spans="2:17" ht="12.75">
      <c r="B20" s="86"/>
      <c r="C20" s="86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3"/>
      <c r="P20" s="91"/>
      <c r="Q20" s="92"/>
    </row>
    <row r="21" spans="2:17" ht="12.75">
      <c r="B21" s="86" t="s">
        <v>112</v>
      </c>
      <c r="C21" s="86"/>
      <c r="D21" s="89">
        <v>678</v>
      </c>
      <c r="E21" s="89">
        <v>593</v>
      </c>
      <c r="F21" s="89">
        <v>579</v>
      </c>
      <c r="G21" s="89">
        <v>420</v>
      </c>
      <c r="H21" s="89">
        <v>281</v>
      </c>
      <c r="I21" s="89">
        <v>114</v>
      </c>
      <c r="J21" s="89">
        <v>60</v>
      </c>
      <c r="K21" s="89">
        <v>78</v>
      </c>
      <c r="L21" s="89">
        <v>137</v>
      </c>
      <c r="M21" s="89">
        <v>315</v>
      </c>
      <c r="N21" s="89">
        <v>507</v>
      </c>
      <c r="O21" s="90">
        <v>677</v>
      </c>
      <c r="P21" s="91"/>
      <c r="Q21" s="92">
        <v>4439</v>
      </c>
    </row>
    <row r="22" spans="2:17" ht="12.75">
      <c r="B22" s="86"/>
      <c r="C22" s="86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3"/>
      <c r="P22" s="91"/>
      <c r="Q22" s="92"/>
    </row>
    <row r="23" spans="2:17" ht="12.75">
      <c r="B23" s="86" t="s">
        <v>113</v>
      </c>
      <c r="C23" s="86"/>
      <c r="D23" s="89">
        <v>710</v>
      </c>
      <c r="E23" s="89">
        <v>598</v>
      </c>
      <c r="F23" s="89">
        <v>591</v>
      </c>
      <c r="G23" s="89">
        <v>421</v>
      </c>
      <c r="H23" s="89">
        <v>276</v>
      </c>
      <c r="I23" s="89">
        <v>103</v>
      </c>
      <c r="J23" s="89">
        <v>54</v>
      </c>
      <c r="K23" s="89">
        <v>68</v>
      </c>
      <c r="L23" s="89">
        <v>156</v>
      </c>
      <c r="M23" s="89">
        <v>349</v>
      </c>
      <c r="N23" s="89">
        <v>511</v>
      </c>
      <c r="O23" s="90">
        <v>703</v>
      </c>
      <c r="P23" s="91"/>
      <c r="Q23" s="92">
        <v>4540</v>
      </c>
    </row>
    <row r="24" spans="2:17" ht="12.75">
      <c r="B24" s="86"/>
      <c r="C24" s="86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3"/>
      <c r="P24" s="91"/>
      <c r="Q24" s="92"/>
    </row>
    <row r="25" spans="2:17" ht="12.75">
      <c r="B25" s="86" t="s">
        <v>114</v>
      </c>
      <c r="C25" s="86"/>
      <c r="D25" s="89">
        <v>657</v>
      </c>
      <c r="E25" s="89">
        <v>539</v>
      </c>
      <c r="F25" s="89">
        <v>508</v>
      </c>
      <c r="G25" s="89">
        <v>329</v>
      </c>
      <c r="H25" s="89">
        <v>164</v>
      </c>
      <c r="I25" s="89">
        <v>51</v>
      </c>
      <c r="J25" s="89">
        <v>17</v>
      </c>
      <c r="K25" s="89">
        <v>31</v>
      </c>
      <c r="L25" s="89">
        <v>89</v>
      </c>
      <c r="M25" s="89">
        <v>274</v>
      </c>
      <c r="N25" s="89">
        <v>476</v>
      </c>
      <c r="O25" s="90">
        <v>645</v>
      </c>
      <c r="P25" s="91"/>
      <c r="Q25" s="92">
        <v>3780</v>
      </c>
    </row>
    <row r="26" spans="2:17" ht="12.75">
      <c r="B26" s="86"/>
      <c r="C26" s="86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3"/>
      <c r="P26" s="91"/>
      <c r="Q26" s="92"/>
    </row>
    <row r="27" spans="2:17" ht="12.75">
      <c r="B27" s="86" t="s">
        <v>115</v>
      </c>
      <c r="C27" s="86"/>
      <c r="D27" s="89">
        <v>666</v>
      </c>
      <c r="E27" s="89">
        <v>644</v>
      </c>
      <c r="F27" s="89">
        <v>521</v>
      </c>
      <c r="G27" s="89">
        <v>337</v>
      </c>
      <c r="H27" s="89">
        <v>181</v>
      </c>
      <c r="I27" s="89">
        <v>59</v>
      </c>
      <c r="J27" s="89">
        <v>21</v>
      </c>
      <c r="K27" s="89">
        <v>29</v>
      </c>
      <c r="L27" s="89">
        <v>87</v>
      </c>
      <c r="M27" s="89">
        <v>283</v>
      </c>
      <c r="N27" s="89">
        <v>490</v>
      </c>
      <c r="O27" s="90">
        <v>654</v>
      </c>
      <c r="P27" s="91"/>
      <c r="Q27" s="92">
        <v>3872</v>
      </c>
    </row>
    <row r="28" spans="2:17" ht="12.75">
      <c r="B28" s="86"/>
      <c r="C28" s="86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3"/>
      <c r="P28" s="91"/>
      <c r="Q28" s="92"/>
    </row>
    <row r="29" spans="2:17" ht="12.75">
      <c r="B29" s="86" t="s">
        <v>116</v>
      </c>
      <c r="C29" s="86"/>
      <c r="D29" s="89">
        <v>591</v>
      </c>
      <c r="E29" s="89">
        <v>481</v>
      </c>
      <c r="F29" s="89">
        <v>451</v>
      </c>
      <c r="G29" s="89">
        <v>250</v>
      </c>
      <c r="H29" s="89">
        <v>85</v>
      </c>
      <c r="I29" s="89">
        <v>11</v>
      </c>
      <c r="J29" s="89">
        <v>0</v>
      </c>
      <c r="K29" s="89">
        <v>0</v>
      </c>
      <c r="L29" s="89">
        <v>24</v>
      </c>
      <c r="M29" s="89">
        <v>202</v>
      </c>
      <c r="N29" s="89">
        <v>409</v>
      </c>
      <c r="O29" s="90">
        <v>568</v>
      </c>
      <c r="P29" s="91"/>
      <c r="Q29" s="92">
        <v>3072</v>
      </c>
    </row>
    <row r="30" spans="2:17" ht="12.75">
      <c r="B30" s="86"/>
      <c r="C30" s="86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3"/>
      <c r="P30" s="91"/>
      <c r="Q30" s="92"/>
    </row>
    <row r="31" spans="2:17" ht="12.75">
      <c r="B31" s="86" t="s">
        <v>117</v>
      </c>
      <c r="C31" s="86"/>
      <c r="D31" s="89">
        <v>683</v>
      </c>
      <c r="E31" s="89">
        <v>554</v>
      </c>
      <c r="F31" s="89">
        <v>530</v>
      </c>
      <c r="G31" s="89">
        <v>318</v>
      </c>
      <c r="H31" s="89">
        <v>172</v>
      </c>
      <c r="I31" s="89">
        <v>50</v>
      </c>
      <c r="J31" s="89">
        <v>22</v>
      </c>
      <c r="K31" s="89">
        <v>27</v>
      </c>
      <c r="L31" s="89">
        <v>86</v>
      </c>
      <c r="M31" s="89">
        <v>287</v>
      </c>
      <c r="N31" s="89">
        <v>469</v>
      </c>
      <c r="O31" s="90">
        <v>678</v>
      </c>
      <c r="P31" s="91"/>
      <c r="Q31" s="92">
        <v>3876</v>
      </c>
    </row>
    <row r="32" spans="2:17" ht="12.75">
      <c r="B32" s="86"/>
      <c r="C32" s="86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3"/>
      <c r="P32" s="91"/>
      <c r="Q32" s="92"/>
    </row>
    <row r="33" spans="2:17" ht="12.75">
      <c r="B33" s="86" t="s">
        <v>118</v>
      </c>
      <c r="C33" s="86"/>
      <c r="D33" s="89">
        <v>683</v>
      </c>
      <c r="E33" s="89">
        <v>577</v>
      </c>
      <c r="F33" s="89">
        <v>566</v>
      </c>
      <c r="G33" s="89">
        <v>377</v>
      </c>
      <c r="H33" s="89">
        <v>267</v>
      </c>
      <c r="I33" s="89">
        <v>101</v>
      </c>
      <c r="J33" s="89">
        <v>58</v>
      </c>
      <c r="K33" s="89">
        <v>65</v>
      </c>
      <c r="L33" s="89">
        <v>144</v>
      </c>
      <c r="M33" s="89">
        <v>323</v>
      </c>
      <c r="N33" s="89">
        <v>484</v>
      </c>
      <c r="O33" s="90">
        <v>687</v>
      </c>
      <c r="P33" s="91"/>
      <c r="Q33" s="92">
        <v>4332</v>
      </c>
    </row>
    <row r="34" spans="2:17" ht="12.75">
      <c r="B34" s="86"/>
      <c r="C34" s="86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3"/>
      <c r="P34" s="91"/>
      <c r="Q34" s="92"/>
    </row>
    <row r="35" spans="2:17" ht="12.75">
      <c r="B35" s="86" t="s">
        <v>119</v>
      </c>
      <c r="C35" s="86"/>
      <c r="D35" s="89">
        <v>649</v>
      </c>
      <c r="E35" s="89">
        <v>538</v>
      </c>
      <c r="F35" s="89">
        <v>508</v>
      </c>
      <c r="G35" s="89">
        <v>302</v>
      </c>
      <c r="H35" s="89">
        <v>165</v>
      </c>
      <c r="I35" s="89">
        <v>41</v>
      </c>
      <c r="J35" s="89">
        <v>12</v>
      </c>
      <c r="K35" s="89">
        <v>12</v>
      </c>
      <c r="L35" s="89">
        <v>65</v>
      </c>
      <c r="M35" s="89">
        <v>276</v>
      </c>
      <c r="N35" s="89">
        <v>465</v>
      </c>
      <c r="O35" s="90">
        <v>635</v>
      </c>
      <c r="P35" s="91"/>
      <c r="Q35" s="92">
        <v>3668</v>
      </c>
    </row>
    <row r="36" spans="2:17" ht="12.75">
      <c r="B36" s="86"/>
      <c r="C36" s="86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3"/>
      <c r="P36" s="91"/>
      <c r="Q36" s="92"/>
    </row>
    <row r="37" spans="2:17" ht="12.75">
      <c r="B37" s="86" t="s">
        <v>120</v>
      </c>
      <c r="C37" s="86"/>
      <c r="D37" s="89">
        <v>659</v>
      </c>
      <c r="E37" s="89">
        <v>559</v>
      </c>
      <c r="F37" s="89">
        <v>557</v>
      </c>
      <c r="G37" s="89">
        <v>390</v>
      </c>
      <c r="H37" s="89">
        <v>257</v>
      </c>
      <c r="I37" s="89">
        <v>97</v>
      </c>
      <c r="J37" s="89">
        <v>46</v>
      </c>
      <c r="K37" s="89">
        <v>59</v>
      </c>
      <c r="L37" s="89">
        <v>120</v>
      </c>
      <c r="M37" s="89">
        <v>302</v>
      </c>
      <c r="N37" s="89">
        <v>489</v>
      </c>
      <c r="O37" s="90">
        <v>650</v>
      </c>
      <c r="P37" s="91"/>
      <c r="Q37" s="92">
        <v>4185</v>
      </c>
    </row>
    <row r="38" spans="2:17" ht="12.75">
      <c r="B38" s="86"/>
      <c r="C38" s="86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3"/>
      <c r="P38" s="91"/>
      <c r="Q38" s="92"/>
    </row>
    <row r="39" spans="2:17" ht="12.75">
      <c r="B39" s="86" t="s">
        <v>121</v>
      </c>
      <c r="C39" s="86"/>
      <c r="D39" s="89">
        <v>682</v>
      </c>
      <c r="E39" s="89">
        <v>566</v>
      </c>
      <c r="F39" s="89">
        <v>554</v>
      </c>
      <c r="G39" s="89">
        <v>367</v>
      </c>
      <c r="H39" s="89">
        <v>228</v>
      </c>
      <c r="I39" s="89">
        <v>70</v>
      </c>
      <c r="J39" s="89">
        <v>30</v>
      </c>
      <c r="K39" s="89">
        <v>36</v>
      </c>
      <c r="L39" s="89">
        <v>114</v>
      </c>
      <c r="M39" s="89">
        <v>305</v>
      </c>
      <c r="N39" s="89">
        <v>505</v>
      </c>
      <c r="O39" s="90">
        <v>675</v>
      </c>
      <c r="P39" s="91"/>
      <c r="Q39" s="92">
        <v>4132</v>
      </c>
    </row>
    <row r="40" spans="2:17" ht="12.75">
      <c r="B40" s="86"/>
      <c r="C40" s="86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3"/>
      <c r="P40" s="91"/>
      <c r="Q40" s="92"/>
    </row>
    <row r="41" spans="2:17" ht="12.75">
      <c r="B41" s="86" t="s">
        <v>122</v>
      </c>
      <c r="C41" s="86"/>
      <c r="D41" s="89">
        <v>620</v>
      </c>
      <c r="E41" s="89">
        <v>506</v>
      </c>
      <c r="F41" s="89">
        <v>473</v>
      </c>
      <c r="G41" s="89">
        <v>277</v>
      </c>
      <c r="H41" s="89">
        <v>130</v>
      </c>
      <c r="I41" s="89">
        <v>32</v>
      </c>
      <c r="J41" s="89">
        <v>11</v>
      </c>
      <c r="K41" s="89">
        <v>11</v>
      </c>
      <c r="L41" s="89">
        <v>52</v>
      </c>
      <c r="M41" s="89">
        <v>212</v>
      </c>
      <c r="N41" s="89">
        <v>443</v>
      </c>
      <c r="O41" s="89">
        <v>610</v>
      </c>
      <c r="P41" s="91"/>
      <c r="Q41" s="92">
        <v>3377</v>
      </c>
    </row>
    <row r="42" spans="2:17" ht="12.75">
      <c r="B42" s="86"/>
      <c r="C42" s="8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3"/>
      <c r="P42" s="91"/>
      <c r="Q42" s="92"/>
    </row>
    <row r="43" spans="2:17" ht="12.75">
      <c r="B43" s="86" t="s">
        <v>123</v>
      </c>
      <c r="C43" s="86"/>
      <c r="D43" s="89">
        <v>547</v>
      </c>
      <c r="E43" s="89">
        <v>445</v>
      </c>
      <c r="F43" s="89">
        <v>366</v>
      </c>
      <c r="G43" s="89">
        <v>174</v>
      </c>
      <c r="H43" s="89">
        <v>41</v>
      </c>
      <c r="I43" s="89">
        <v>7</v>
      </c>
      <c r="J43" s="89">
        <v>2</v>
      </c>
      <c r="K43" s="89">
        <v>0</v>
      </c>
      <c r="L43" s="89">
        <v>12</v>
      </c>
      <c r="M43" s="89">
        <v>132</v>
      </c>
      <c r="N43" s="89">
        <v>386</v>
      </c>
      <c r="O43" s="90">
        <v>519</v>
      </c>
      <c r="P43" s="91"/>
      <c r="Q43" s="92">
        <v>2631</v>
      </c>
    </row>
    <row r="44" spans="2:17" ht="12.75">
      <c r="B44" s="86"/>
      <c r="C44" s="86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3"/>
      <c r="P44" s="91"/>
      <c r="Q44" s="92"/>
    </row>
    <row r="45" spans="2:17" ht="12.75">
      <c r="B45" s="86" t="s">
        <v>124</v>
      </c>
      <c r="C45" s="86"/>
      <c r="D45" s="89">
        <v>561</v>
      </c>
      <c r="E45" s="89">
        <v>450</v>
      </c>
      <c r="F45" s="89">
        <v>382</v>
      </c>
      <c r="G45" s="89">
        <v>185</v>
      </c>
      <c r="H45" s="89">
        <v>36</v>
      </c>
      <c r="I45" s="89">
        <v>5</v>
      </c>
      <c r="J45" s="89">
        <v>0</v>
      </c>
      <c r="K45" s="89">
        <v>0</v>
      </c>
      <c r="L45" s="89">
        <v>5</v>
      </c>
      <c r="M45" s="89">
        <v>112</v>
      </c>
      <c r="N45" s="89">
        <v>375</v>
      </c>
      <c r="O45" s="90">
        <v>533</v>
      </c>
      <c r="P45" s="91"/>
      <c r="Q45" s="92">
        <v>2644</v>
      </c>
    </row>
    <row r="46" spans="2:17" ht="12.75">
      <c r="B46" s="86"/>
      <c r="C46" s="86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3"/>
      <c r="P46" s="91"/>
      <c r="Q46" s="92"/>
    </row>
    <row r="47" spans="2:17" ht="12.75">
      <c r="B47" s="86" t="s">
        <v>125</v>
      </c>
      <c r="C47" s="86"/>
      <c r="D47" s="89">
        <v>653</v>
      </c>
      <c r="E47" s="89">
        <v>529</v>
      </c>
      <c r="F47" s="89">
        <v>498</v>
      </c>
      <c r="G47" s="89">
        <v>300</v>
      </c>
      <c r="H47" s="89">
        <v>151</v>
      </c>
      <c r="I47" s="89">
        <v>46</v>
      </c>
      <c r="J47" s="89">
        <v>16</v>
      </c>
      <c r="K47" s="89">
        <v>15</v>
      </c>
      <c r="L47" s="89">
        <v>67</v>
      </c>
      <c r="M47" s="89">
        <v>273</v>
      </c>
      <c r="N47" s="89">
        <v>468</v>
      </c>
      <c r="O47" s="90">
        <v>637</v>
      </c>
      <c r="P47" s="91"/>
      <c r="Q47" s="92">
        <v>3653</v>
      </c>
    </row>
    <row r="48" spans="2:17" ht="12.75">
      <c r="B48" s="86"/>
      <c r="C48" s="86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3"/>
      <c r="P48" s="91"/>
      <c r="Q48" s="92"/>
    </row>
    <row r="49" spans="2:17" ht="12.75">
      <c r="B49" s="86" t="s">
        <v>126</v>
      </c>
      <c r="C49" s="86"/>
      <c r="D49" s="89">
        <v>693</v>
      </c>
      <c r="E49" s="89">
        <v>610</v>
      </c>
      <c r="F49" s="89">
        <v>601</v>
      </c>
      <c r="G49" s="89">
        <v>453</v>
      </c>
      <c r="H49" s="89">
        <v>316</v>
      </c>
      <c r="I49" s="89">
        <v>154</v>
      </c>
      <c r="J49" s="89">
        <v>89</v>
      </c>
      <c r="K49" s="89">
        <v>121</v>
      </c>
      <c r="L49" s="89">
        <v>173</v>
      </c>
      <c r="M49" s="89">
        <v>351</v>
      </c>
      <c r="N49" s="89">
        <v>536</v>
      </c>
      <c r="O49" s="90">
        <v>682</v>
      </c>
      <c r="P49" s="91"/>
      <c r="Q49" s="92">
        <v>4779</v>
      </c>
    </row>
    <row r="50" spans="2:17" ht="12.75">
      <c r="B50" s="86"/>
      <c r="C50" s="86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3"/>
      <c r="P50" s="91"/>
      <c r="Q50" s="92"/>
    </row>
    <row r="51" spans="2:17" ht="12.75">
      <c r="B51" s="86" t="s">
        <v>127</v>
      </c>
      <c r="C51" s="86"/>
      <c r="D51" s="89">
        <v>633</v>
      </c>
      <c r="E51" s="89">
        <v>517</v>
      </c>
      <c r="F51" s="89">
        <v>481</v>
      </c>
      <c r="G51" s="89">
        <v>280</v>
      </c>
      <c r="H51" s="89">
        <v>127</v>
      </c>
      <c r="I51" s="89">
        <v>28</v>
      </c>
      <c r="J51" s="89">
        <v>6</v>
      </c>
      <c r="K51" s="89">
        <v>8</v>
      </c>
      <c r="L51" s="89">
        <v>41</v>
      </c>
      <c r="M51" s="89">
        <v>232</v>
      </c>
      <c r="N51" s="89">
        <v>450</v>
      </c>
      <c r="O51" s="90">
        <v>611</v>
      </c>
      <c r="P51" s="91"/>
      <c r="Q51" s="92">
        <v>3414</v>
      </c>
    </row>
    <row r="52" spans="2:17" ht="12.75">
      <c r="B52" s="86"/>
      <c r="C52" s="86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3"/>
      <c r="P52" s="91"/>
      <c r="Q52" s="92"/>
    </row>
    <row r="53" spans="2:17" ht="12.75">
      <c r="B53" s="86" t="s">
        <v>128</v>
      </c>
      <c r="C53" s="86"/>
      <c r="D53" s="89">
        <v>643</v>
      </c>
      <c r="E53" s="89">
        <v>528</v>
      </c>
      <c r="F53" s="89">
        <v>499</v>
      </c>
      <c r="G53" s="89">
        <v>301</v>
      </c>
      <c r="H53" s="89">
        <v>149</v>
      </c>
      <c r="I53" s="89">
        <v>32</v>
      </c>
      <c r="J53" s="89">
        <v>12</v>
      </c>
      <c r="K53" s="89">
        <v>12</v>
      </c>
      <c r="L53" s="89">
        <v>65</v>
      </c>
      <c r="M53" s="89">
        <v>259</v>
      </c>
      <c r="N53" s="89">
        <v>462</v>
      </c>
      <c r="O53" s="90">
        <v>626</v>
      </c>
      <c r="P53" s="91"/>
      <c r="Q53" s="92">
        <v>3588</v>
      </c>
    </row>
    <row r="54" spans="2:17" ht="12.75">
      <c r="B54" s="86"/>
      <c r="C54" s="86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3"/>
      <c r="P54" s="91"/>
      <c r="Q54" s="92"/>
    </row>
    <row r="55" spans="2:17" ht="12.75">
      <c r="B55" s="86" t="s">
        <v>129</v>
      </c>
      <c r="C55" s="86"/>
      <c r="D55" s="89">
        <v>663</v>
      </c>
      <c r="E55" s="89">
        <v>538</v>
      </c>
      <c r="F55" s="89">
        <v>504</v>
      </c>
      <c r="G55" s="89">
        <v>287</v>
      </c>
      <c r="H55" s="89">
        <v>154</v>
      </c>
      <c r="I55" s="89">
        <v>36</v>
      </c>
      <c r="J55" s="89">
        <v>15</v>
      </c>
      <c r="K55" s="89">
        <v>18</v>
      </c>
      <c r="L55" s="89">
        <v>73</v>
      </c>
      <c r="M55" s="89">
        <v>278</v>
      </c>
      <c r="N55" s="89">
        <v>478</v>
      </c>
      <c r="O55" s="90">
        <v>651</v>
      </c>
      <c r="P55" s="91"/>
      <c r="Q55" s="92">
        <v>3695</v>
      </c>
    </row>
    <row r="56" spans="2:17" ht="12.75">
      <c r="B56" s="86"/>
      <c r="C56" s="86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3"/>
      <c r="P56" s="91"/>
      <c r="Q56" s="92"/>
    </row>
    <row r="57" spans="2:17" ht="12.75">
      <c r="B57" s="86" t="s">
        <v>130</v>
      </c>
      <c r="C57" s="86"/>
      <c r="D57" s="89">
        <v>639</v>
      </c>
      <c r="E57" s="89">
        <v>502</v>
      </c>
      <c r="F57" s="89">
        <v>445</v>
      </c>
      <c r="G57" s="89">
        <v>227</v>
      </c>
      <c r="H57" s="89">
        <v>74</v>
      </c>
      <c r="I57" s="89">
        <v>11</v>
      </c>
      <c r="J57" s="89">
        <v>2</v>
      </c>
      <c r="K57" s="89">
        <v>4</v>
      </c>
      <c r="L57" s="89">
        <v>34</v>
      </c>
      <c r="M57" s="89">
        <v>215</v>
      </c>
      <c r="N57" s="89">
        <v>451</v>
      </c>
      <c r="O57" s="90">
        <v>633</v>
      </c>
      <c r="P57" s="91"/>
      <c r="Q57" s="92">
        <v>3237</v>
      </c>
    </row>
    <row r="58" spans="2:17" ht="12.75">
      <c r="B58" s="86"/>
      <c r="C58" s="86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3"/>
      <c r="P58" s="91"/>
      <c r="Q58" s="92"/>
    </row>
    <row r="59" spans="2:17" ht="12.75">
      <c r="B59" s="86" t="s">
        <v>131</v>
      </c>
      <c r="C59" s="86"/>
      <c r="D59" s="89">
        <v>675</v>
      </c>
      <c r="E59" s="89">
        <v>559</v>
      </c>
      <c r="F59" s="89">
        <v>538</v>
      </c>
      <c r="G59" s="89">
        <v>346</v>
      </c>
      <c r="H59" s="89">
        <v>222</v>
      </c>
      <c r="I59" s="89">
        <v>72</v>
      </c>
      <c r="J59" s="89">
        <v>34</v>
      </c>
      <c r="K59" s="89">
        <v>45</v>
      </c>
      <c r="L59" s="89">
        <v>106</v>
      </c>
      <c r="M59" s="89">
        <v>306</v>
      </c>
      <c r="N59" s="89">
        <v>474</v>
      </c>
      <c r="O59" s="90">
        <v>669</v>
      </c>
      <c r="P59" s="91"/>
      <c r="Q59" s="92">
        <v>4046</v>
      </c>
    </row>
    <row r="60" spans="2:17" ht="12.75">
      <c r="B60" s="86"/>
      <c r="C60" s="86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3"/>
      <c r="P60" s="91"/>
      <c r="Q60" s="92"/>
    </row>
    <row r="61" spans="2:17" ht="12.75">
      <c r="B61" s="86" t="s">
        <v>132</v>
      </c>
      <c r="C61" s="86"/>
      <c r="D61" s="89">
        <v>655</v>
      </c>
      <c r="E61" s="89">
        <v>533</v>
      </c>
      <c r="F61" s="89">
        <v>502</v>
      </c>
      <c r="G61" s="89">
        <v>305</v>
      </c>
      <c r="H61" s="89">
        <v>167</v>
      </c>
      <c r="I61" s="89">
        <v>54</v>
      </c>
      <c r="J61" s="89">
        <v>22</v>
      </c>
      <c r="K61" s="89">
        <v>26</v>
      </c>
      <c r="L61" s="89">
        <v>74</v>
      </c>
      <c r="M61" s="89">
        <v>261</v>
      </c>
      <c r="N61" s="89">
        <v>471</v>
      </c>
      <c r="O61" s="90">
        <v>647</v>
      </c>
      <c r="P61" s="91"/>
      <c r="Q61" s="92">
        <v>3717</v>
      </c>
    </row>
    <row r="62" spans="2:17" ht="12.75">
      <c r="B62" s="86"/>
      <c r="C62" s="86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3"/>
      <c r="P62" s="91"/>
      <c r="Q62" s="92"/>
    </row>
    <row r="63" spans="2:17" ht="12.75">
      <c r="B63" s="86" t="s">
        <v>133</v>
      </c>
      <c r="C63" s="86"/>
      <c r="D63" s="89">
        <v>615</v>
      </c>
      <c r="E63" s="89">
        <v>501</v>
      </c>
      <c r="F63" s="89">
        <v>467</v>
      </c>
      <c r="G63" s="89">
        <v>255</v>
      </c>
      <c r="H63" s="89">
        <v>110</v>
      </c>
      <c r="I63" s="89">
        <v>23</v>
      </c>
      <c r="J63" s="89">
        <v>7</v>
      </c>
      <c r="K63" s="89">
        <v>6</v>
      </c>
      <c r="L63" s="89">
        <v>35</v>
      </c>
      <c r="M63" s="89">
        <v>207</v>
      </c>
      <c r="N63" s="89">
        <v>433</v>
      </c>
      <c r="O63" s="90">
        <v>601</v>
      </c>
      <c r="P63" s="91"/>
      <c r="Q63" s="92">
        <v>3260</v>
      </c>
    </row>
    <row r="64" spans="2:17" ht="12.75">
      <c r="B64" s="86"/>
      <c r="C64" s="86"/>
      <c r="Q64" s="88"/>
    </row>
    <row r="65" spans="2:17" ht="12.75">
      <c r="B65" s="86"/>
      <c r="C65" s="86"/>
      <c r="Q65" s="88"/>
    </row>
    <row r="66" spans="2:17" ht="12.75">
      <c r="B66" s="86"/>
      <c r="C66" s="86"/>
      <c r="Q66" s="88"/>
    </row>
    <row r="67" spans="2:17" ht="12.75">
      <c r="B67" s="86"/>
      <c r="C67" s="86"/>
      <c r="Q67" s="88"/>
    </row>
    <row r="68" spans="2:17" ht="12.75">
      <c r="B68" s="86"/>
      <c r="C68" s="86"/>
      <c r="Q68" s="88"/>
    </row>
    <row r="69" spans="2:17" ht="12.75">
      <c r="B69" s="86"/>
      <c r="C69" s="86"/>
      <c r="Q69" s="88"/>
    </row>
    <row r="70" spans="2:17" ht="12.75">
      <c r="B70" s="86"/>
      <c r="C70" s="86"/>
      <c r="Q70" s="88"/>
    </row>
    <row r="71" spans="2:17" ht="12.75">
      <c r="B71" s="86"/>
      <c r="C71" s="86"/>
      <c r="Q71" s="88"/>
    </row>
    <row r="72" spans="2:17" ht="12.75">
      <c r="B72" s="86"/>
      <c r="C72" s="86"/>
      <c r="Q72" s="88"/>
    </row>
    <row r="73" spans="2:17" ht="12.75">
      <c r="B73" s="86"/>
      <c r="C73" s="86"/>
      <c r="Q73" s="88"/>
    </row>
    <row r="74" spans="2:17" ht="12.75">
      <c r="B74" s="86"/>
      <c r="C74" s="86"/>
      <c r="Q74" s="88"/>
    </row>
    <row r="75" spans="2:17" ht="12.75">
      <c r="B75" s="86"/>
      <c r="C75" s="86"/>
      <c r="Q75" s="88"/>
    </row>
    <row r="76" spans="2:17" ht="12.75">
      <c r="B76" s="86"/>
      <c r="C76" s="86"/>
      <c r="Q76" s="88"/>
    </row>
    <row r="77" spans="2:17" ht="12.75">
      <c r="B77" s="86"/>
      <c r="C77" s="86"/>
      <c r="Q77" s="88"/>
    </row>
    <row r="78" spans="2:17" ht="12.75">
      <c r="B78" s="86"/>
      <c r="C78" s="86"/>
      <c r="Q78" s="88"/>
    </row>
    <row r="79" spans="2:17" ht="12.75">
      <c r="B79" s="86"/>
      <c r="C79" s="86"/>
      <c r="Q79" s="88"/>
    </row>
    <row r="80" spans="2:17" ht="12.75">
      <c r="B80" s="86"/>
      <c r="C80" s="86"/>
      <c r="Q80" s="88"/>
    </row>
    <row r="81" spans="2:17" ht="12.75">
      <c r="B81" s="86"/>
      <c r="C81" s="86"/>
      <c r="Q81" s="88"/>
    </row>
    <row r="82" spans="2:17" ht="12.75">
      <c r="B82" s="86"/>
      <c r="C82" s="86"/>
      <c r="Q82" s="88"/>
    </row>
    <row r="83" spans="2:17" ht="12.75">
      <c r="B83" s="86"/>
      <c r="C83" s="86"/>
      <c r="Q83" s="88"/>
    </row>
    <row r="84" spans="2:17" ht="12.75">
      <c r="B84" s="86"/>
      <c r="C84" s="86"/>
      <c r="Q84" s="88"/>
    </row>
    <row r="85" spans="2:17" ht="12.75">
      <c r="B85" s="86"/>
      <c r="C85" s="86"/>
      <c r="Q85" s="88"/>
    </row>
    <row r="86" spans="2:17" ht="12.75">
      <c r="B86" s="86"/>
      <c r="C86" s="86"/>
      <c r="Q86" s="88"/>
    </row>
    <row r="87" spans="2:17" ht="12.75">
      <c r="B87" s="86"/>
      <c r="C87" s="86"/>
      <c r="Q87" s="88"/>
    </row>
    <row r="88" spans="2:17" ht="12.75">
      <c r="B88" s="86"/>
      <c r="C88" s="86"/>
      <c r="Q88" s="88"/>
    </row>
    <row r="89" spans="2:17" ht="12.75">
      <c r="B89" s="86"/>
      <c r="C89" s="86"/>
      <c r="Q89" s="88"/>
    </row>
    <row r="90" spans="2:17" ht="12.75">
      <c r="B90" s="86"/>
      <c r="C90" s="86"/>
      <c r="Q90" s="88"/>
    </row>
    <row r="91" spans="2:17" ht="12.75">
      <c r="B91" s="86"/>
      <c r="C91" s="86"/>
      <c r="Q91" s="88"/>
    </row>
    <row r="92" spans="2:17" ht="12.75">
      <c r="B92" s="86"/>
      <c r="C92" s="86"/>
      <c r="Q92" s="88"/>
    </row>
    <row r="93" spans="2:17" ht="12.75">
      <c r="B93" s="86"/>
      <c r="C93" s="86"/>
      <c r="Q93" s="88"/>
    </row>
    <row r="95" ht="12.75">
      <c r="A95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Hofmann</dc:creator>
  <cp:keywords/>
  <dc:description/>
  <cp:lastModifiedBy>Markus Halter</cp:lastModifiedBy>
  <cp:lastPrinted>2009-02-24T09:28:00Z</cp:lastPrinted>
  <dcterms:created xsi:type="dcterms:W3CDTF">1990-12-08T08:17:10Z</dcterms:created>
  <dcterms:modified xsi:type="dcterms:W3CDTF">2016-10-27T08:39:41Z</dcterms:modified>
  <cp:category/>
  <cp:version/>
  <cp:contentType/>
  <cp:contentStatus/>
</cp:coreProperties>
</file>